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LRC\Final Reports for Web Updates\20244\"/>
    </mc:Choice>
  </mc:AlternateContent>
  <xr:revisionPtr revIDLastSave="0" documentId="8_{B9FDB637-EB76-4C37-89A3-61240FB42A40}" xr6:coauthVersionLast="47" xr6:coauthVersionMax="47" xr10:uidLastSave="{00000000-0000-0000-0000-000000000000}"/>
  <bookViews>
    <workbookView xWindow="-120" yWindow="-120" windowWidth="29040" windowHeight="15840" tabRatio="610" firstSheet="2" activeTab="2" xr2:uid="{00000000-000D-0000-FFFF-FFFF00000000}"/>
  </bookViews>
  <sheets>
    <sheet name="ULTPYAO (2)" sheetId="10" state="hidden" r:id="rId1"/>
    <sheet name="ind or final" sheetId="7" state="hidden" r:id="rId2"/>
    <sheet name="ULTIMATE" sheetId="1" r:id="rId3"/>
    <sheet name="Sheet1" sheetId="8" state="hidden" r:id="rId4"/>
    <sheet name="ULTPYPP" sheetId="2" state="hidden" r:id="rId5"/>
    <sheet name="ULTPQPP" sheetId="5" state="hidden" r:id="rId6"/>
    <sheet name="ULTPYAO" sheetId="4" state="hidden" r:id="rId7"/>
    <sheet name="ULTPQAO" sheetId="6" state="hidden" r:id="rId8"/>
    <sheet name="Sheet2" sheetId="9" state="hidden" r:id="rId9"/>
  </sheets>
  <definedNames>
    <definedName name="ALL_PAGES">ULTIMATE!$A$5:$G$127</definedName>
    <definedName name="PAGE_1" localSheetId="7">ULTPQAO!$C$1:$J$5</definedName>
    <definedName name="PAGE_1" localSheetId="5">ULTPQPP!$D$1:$K$5</definedName>
    <definedName name="PAGE_1" localSheetId="6">ULTPYAO!$A$1:$K$58</definedName>
    <definedName name="PAGE_1" localSheetId="0">'ULTPYAO (2)'!$A$1:$K$55</definedName>
    <definedName name="PAGE_1">ULTPYPP!$A$1:$K$47</definedName>
    <definedName name="PAGE_2" localSheetId="7">ULTPQAO!$C$27:$K$86</definedName>
    <definedName name="PAGE_2">ULTPQPP!$D$38:$K$79</definedName>
    <definedName name="PAGE_3">ULTPQPP!$O$1:$V$5</definedName>
    <definedName name="PAGE_4">ULTPQPP!$Z$1:$AG$5</definedName>
    <definedName name="PAGE_5">ULTPQPP!$Z$38:$AG$75</definedName>
    <definedName name="_xlnm.Print_Area" localSheetId="2">ULTIMATE!$A$1:$H$142</definedName>
    <definedName name="_xlnm.Print_Area" localSheetId="7">ULTPQAO!$A$1:$J$86</definedName>
    <definedName name="_xlnm.Print_Area" localSheetId="5">ULTPQPP!$A$1:$AG$78</definedName>
    <definedName name="_xlnm.Print_Area" localSheetId="6">ULTPYAO!$A$1:$K$57</definedName>
    <definedName name="_xlnm.Print_Area" localSheetId="0">'ULTPYAO (2)'!$A$1:$K$54</definedName>
    <definedName name="_xlnm.Print_Area" localSheetId="4">ULTPYPP!$A$1:$K$46</definedName>
    <definedName name="PY_LR_UPDATE">ULTIMATE!#REF!</definedName>
    <definedName name="solver_adj" localSheetId="5" hidden="1">ULTPQPP!$Z$28</definedName>
    <definedName name="solver_cvg" localSheetId="5" hidden="1">0.0001</definedName>
    <definedName name="solver_drv" localSheetId="5" hidden="1">1</definedName>
    <definedName name="solver_est" localSheetId="5" hidden="1">1</definedName>
    <definedName name="solver_itr" localSheetId="5" hidden="1">100</definedName>
    <definedName name="solver_lin" localSheetId="5" hidden="1">2</definedName>
    <definedName name="solver_neg" localSheetId="5" hidden="1">2</definedName>
    <definedName name="solver_num" localSheetId="5" hidden="1">0</definedName>
    <definedName name="solver_nwt" localSheetId="5" hidden="1">1</definedName>
    <definedName name="solver_opt" localSheetId="5" hidden="1">ULTPQPP!$AC$29</definedName>
    <definedName name="solver_pre" localSheetId="5" hidden="1">0.000001</definedName>
    <definedName name="solver_scl" localSheetId="5" hidden="1">2</definedName>
    <definedName name="solver_sho" localSheetId="5" hidden="1">2</definedName>
    <definedName name="solver_tim" localSheetId="5" hidden="1">100</definedName>
    <definedName name="solver_tol" localSheetId="5" hidden="1">0.05</definedName>
    <definedName name="solver_typ" localSheetId="5" hidden="1">3</definedName>
    <definedName name="solver_val" localSheetId="5" hidden="1">1560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5" i="6" l="1"/>
  <c r="J3" i="6"/>
  <c r="K3" i="4"/>
  <c r="D81" i="6"/>
  <c r="O21" i="4"/>
  <c r="O22" i="4"/>
  <c r="O23" i="4"/>
  <c r="O24" i="4"/>
  <c r="O20" i="4"/>
  <c r="C76" i="6" l="1"/>
  <c r="D75" i="6"/>
  <c r="E74" i="6"/>
  <c r="F72" i="6"/>
  <c r="G71" i="6"/>
  <c r="H70" i="6"/>
  <c r="H69" i="6"/>
  <c r="F41" i="6"/>
  <c r="H47" i="4"/>
  <c r="I47" i="4"/>
  <c r="D47" i="4"/>
  <c r="E47" i="4"/>
  <c r="F47" i="4"/>
  <c r="B44" i="4"/>
  <c r="F43" i="4"/>
  <c r="J42" i="4"/>
  <c r="J47" i="4" s="1"/>
  <c r="C75" i="6" l="1"/>
  <c r="E41" i="6"/>
  <c r="B37" i="6"/>
  <c r="C71" i="6"/>
  <c r="D74" i="6"/>
  <c r="E72" i="6"/>
  <c r="F71" i="6"/>
  <c r="G70" i="6"/>
  <c r="C74" i="6"/>
  <c r="I41" i="6"/>
  <c r="H41" i="6"/>
  <c r="G41" i="6"/>
  <c r="D41" i="6"/>
  <c r="C41" i="6"/>
  <c r="I42" i="4"/>
  <c r="E43" i="4"/>
  <c r="A44" i="4"/>
  <c r="H35" i="6" l="1"/>
  <c r="G69" i="6" l="1"/>
  <c r="F70" i="6"/>
  <c r="E71" i="6"/>
  <c r="D72" i="6"/>
  <c r="H67" i="6"/>
  <c r="H64" i="6"/>
  <c r="G35" i="6"/>
  <c r="F35" i="6"/>
  <c r="C36" i="6" s="1"/>
  <c r="E35" i="6"/>
  <c r="D35" i="6"/>
  <c r="C35" i="6"/>
  <c r="K11" i="6"/>
  <c r="D43" i="4"/>
  <c r="H42" i="4"/>
  <c r="C43" i="4" l="1"/>
  <c r="C72" i="6" l="1"/>
  <c r="H66" i="6" l="1"/>
  <c r="G67" i="6"/>
  <c r="F69" i="6"/>
  <c r="E70" i="6"/>
  <c r="D71" i="6"/>
  <c r="G42" i="4"/>
  <c r="M84" i="1"/>
  <c r="O84" i="1" s="1"/>
  <c r="M83" i="1"/>
  <c r="O83" i="1" s="1"/>
  <c r="D70" i="6"/>
  <c r="E69" i="6"/>
  <c r="F67" i="6"/>
  <c r="G66" i="6"/>
  <c r="H65" i="6"/>
  <c r="H81" i="6" s="1"/>
  <c r="F42" i="4"/>
  <c r="J41" i="4"/>
  <c r="B43" i="4"/>
  <c r="A43" i="4"/>
  <c r="L84" i="1"/>
  <c r="N84" i="1" s="1"/>
  <c r="L83" i="1"/>
  <c r="N83" i="1" s="1"/>
  <c r="L82" i="1"/>
  <c r="N82" i="1" s="1"/>
  <c r="L81" i="1"/>
  <c r="N81" i="1" s="1"/>
  <c r="L80" i="1"/>
  <c r="N80" i="1" s="1"/>
  <c r="K79" i="1"/>
  <c r="K80" i="1" s="1"/>
  <c r="K81" i="1" s="1"/>
  <c r="K82" i="1" s="1"/>
  <c r="K83" i="1" s="1"/>
  <c r="K84" i="1" s="1"/>
  <c r="K85" i="1" s="1"/>
  <c r="K86" i="1" s="1"/>
  <c r="K87" i="1" s="1"/>
  <c r="I60" i="6"/>
  <c r="J23" i="6"/>
  <c r="I59" i="6"/>
  <c r="F66" i="6"/>
  <c r="C59" i="6"/>
  <c r="D49" i="6"/>
  <c r="E49" i="6"/>
  <c r="F49" i="6"/>
  <c r="G49" i="6"/>
  <c r="H49" i="6"/>
  <c r="I49" i="6"/>
  <c r="D50" i="6"/>
  <c r="E50" i="6"/>
  <c r="F50" i="6"/>
  <c r="G50" i="6"/>
  <c r="H50" i="6"/>
  <c r="I50" i="6"/>
  <c r="D51" i="6"/>
  <c r="E51" i="6"/>
  <c r="F51" i="6"/>
  <c r="G51" i="6"/>
  <c r="H51" i="6"/>
  <c r="I51" i="6"/>
  <c r="D52" i="6"/>
  <c r="E52" i="6"/>
  <c r="F52" i="6"/>
  <c r="G52" i="6"/>
  <c r="H52" i="6"/>
  <c r="I52" i="6"/>
  <c r="C50" i="6"/>
  <c r="C51" i="6"/>
  <c r="C52" i="6"/>
  <c r="H29" i="6"/>
  <c r="G29" i="6"/>
  <c r="F29" i="6"/>
  <c r="C30" i="6" s="1"/>
  <c r="E29" i="6"/>
  <c r="D29" i="6"/>
  <c r="C29" i="6"/>
  <c r="I23" i="6"/>
  <c r="H23" i="6"/>
  <c r="G23" i="6"/>
  <c r="F23" i="6"/>
  <c r="C24" i="6" s="1"/>
  <c r="E23" i="6"/>
  <c r="D23" i="6"/>
  <c r="C23" i="6"/>
  <c r="I62" i="6"/>
  <c r="I61" i="6"/>
  <c r="J17" i="6"/>
  <c r="I17" i="6"/>
  <c r="H17" i="6"/>
  <c r="G17" i="6"/>
  <c r="F17" i="6"/>
  <c r="E17" i="6"/>
  <c r="D17" i="6"/>
  <c r="C17" i="6"/>
  <c r="J11" i="6"/>
  <c r="I11" i="6"/>
  <c r="H11" i="6"/>
  <c r="G11" i="6"/>
  <c r="F11" i="6"/>
  <c r="E11" i="6"/>
  <c r="D11" i="6"/>
  <c r="C11" i="6"/>
  <c r="K19" i="4"/>
  <c r="J40" i="4" s="1"/>
  <c r="B45" i="10"/>
  <c r="D41" i="10"/>
  <c r="C41" i="10"/>
  <c r="B41" i="10"/>
  <c r="A41" i="10"/>
  <c r="H40" i="10"/>
  <c r="G40" i="10"/>
  <c r="F40" i="10"/>
  <c r="E40" i="10"/>
  <c r="E44" i="10" s="1"/>
  <c r="E45" i="10" s="1"/>
  <c r="D40" i="10"/>
  <c r="C40" i="10"/>
  <c r="B40" i="10"/>
  <c r="A40" i="10"/>
  <c r="J39" i="10"/>
  <c r="I39" i="10"/>
  <c r="H39" i="10"/>
  <c r="H44" i="10" s="1"/>
  <c r="H45" i="10" s="1"/>
  <c r="G39" i="10"/>
  <c r="F39" i="10"/>
  <c r="E39" i="10"/>
  <c r="D39" i="10"/>
  <c r="D44" i="10" s="1"/>
  <c r="D45" i="10" s="1"/>
  <c r="C39" i="10"/>
  <c r="C44" i="10" s="1"/>
  <c r="C45" i="10" s="1"/>
  <c r="B39" i="10"/>
  <c r="B44" i="10"/>
  <c r="A39" i="10"/>
  <c r="J38" i="10"/>
  <c r="I38" i="10"/>
  <c r="H38" i="10"/>
  <c r="G38" i="10"/>
  <c r="G44" i="10" s="1"/>
  <c r="G45" i="10" s="1"/>
  <c r="F38" i="10"/>
  <c r="F44" i="10" s="1"/>
  <c r="F45" i="10" s="1"/>
  <c r="E38" i="10"/>
  <c r="D38" i="10"/>
  <c r="C38" i="10"/>
  <c r="B38" i="10"/>
  <c r="A38" i="10"/>
  <c r="J37" i="10"/>
  <c r="J44" i="10" s="1"/>
  <c r="J45" i="10" s="1"/>
  <c r="J51" i="10" s="1"/>
  <c r="I37" i="10"/>
  <c r="H37" i="10"/>
  <c r="G37" i="10"/>
  <c r="F37" i="10"/>
  <c r="E37" i="10"/>
  <c r="D37" i="10"/>
  <c r="C37" i="10"/>
  <c r="B37" i="10"/>
  <c r="A37" i="10"/>
  <c r="J36" i="10"/>
  <c r="I36" i="10"/>
  <c r="H36" i="10"/>
  <c r="G36" i="10"/>
  <c r="F36" i="10"/>
  <c r="E36" i="10"/>
  <c r="D36" i="10"/>
  <c r="C36" i="10"/>
  <c r="B36" i="10"/>
  <c r="A36" i="10"/>
  <c r="J35" i="10"/>
  <c r="I35" i="10"/>
  <c r="H35" i="10"/>
  <c r="G35" i="10"/>
  <c r="F35" i="10"/>
  <c r="E35" i="10"/>
  <c r="D35" i="10"/>
  <c r="C35" i="10"/>
  <c r="B35" i="10"/>
  <c r="A35" i="10"/>
  <c r="J34" i="10"/>
  <c r="I34" i="10"/>
  <c r="H34" i="10"/>
  <c r="G34" i="10"/>
  <c r="F34" i="10"/>
  <c r="E34" i="10"/>
  <c r="D34" i="10"/>
  <c r="C34" i="10"/>
  <c r="B34" i="10"/>
  <c r="A34" i="10"/>
  <c r="J33" i="10"/>
  <c r="I33" i="10"/>
  <c r="H33" i="10"/>
  <c r="G33" i="10"/>
  <c r="F33" i="10"/>
  <c r="E33" i="10"/>
  <c r="D33" i="10"/>
  <c r="C33" i="10"/>
  <c r="B33" i="10"/>
  <c r="A33" i="10"/>
  <c r="J32" i="10"/>
  <c r="I32" i="10"/>
  <c r="H32" i="10"/>
  <c r="G32" i="10"/>
  <c r="F32" i="10"/>
  <c r="E32" i="10"/>
  <c r="D32" i="10"/>
  <c r="C32" i="10"/>
  <c r="B32" i="10"/>
  <c r="A32" i="10"/>
  <c r="J31" i="10"/>
  <c r="I31" i="10"/>
  <c r="H31" i="10"/>
  <c r="G31" i="10"/>
  <c r="F31" i="10"/>
  <c r="E31" i="10"/>
  <c r="D31" i="10"/>
  <c r="C31" i="10"/>
  <c r="B31" i="10"/>
  <c r="A31" i="10"/>
  <c r="O30" i="10"/>
  <c r="J30" i="10"/>
  <c r="I30" i="10"/>
  <c r="H30" i="10"/>
  <c r="G30" i="10"/>
  <c r="F30" i="10"/>
  <c r="E30" i="10"/>
  <c r="D30" i="10"/>
  <c r="C30" i="10"/>
  <c r="B30" i="10"/>
  <c r="A30" i="10"/>
  <c r="J29" i="10"/>
  <c r="I29" i="10"/>
  <c r="H29" i="10"/>
  <c r="G29" i="10"/>
  <c r="F29" i="10"/>
  <c r="E29" i="10"/>
  <c r="D29" i="10"/>
  <c r="C29" i="10"/>
  <c r="B29" i="10"/>
  <c r="A29" i="10"/>
  <c r="J28" i="10"/>
  <c r="I28" i="10"/>
  <c r="H28" i="10"/>
  <c r="G28" i="10"/>
  <c r="F28" i="10"/>
  <c r="E28" i="10"/>
  <c r="D28" i="10"/>
  <c r="C28" i="10"/>
  <c r="B28" i="10"/>
  <c r="A28" i="10"/>
  <c r="F21" i="10"/>
  <c r="E41" i="10"/>
  <c r="J20" i="10"/>
  <c r="I40" i="10" s="1"/>
  <c r="O17" i="10"/>
  <c r="K2" i="10"/>
  <c r="K1" i="10"/>
  <c r="E31" i="9"/>
  <c r="E27" i="9"/>
  <c r="E25" i="9"/>
  <c r="E32" i="9" s="1"/>
  <c r="T28" i="9"/>
  <c r="S28" i="9"/>
  <c r="U4" i="9"/>
  <c r="U5" i="9"/>
  <c r="U6" i="9"/>
  <c r="U7" i="9"/>
  <c r="U8" i="9"/>
  <c r="V21" i="9" s="1"/>
  <c r="U9" i="9"/>
  <c r="U10" i="9"/>
  <c r="U11" i="9"/>
  <c r="U12" i="9"/>
  <c r="U13" i="9"/>
  <c r="U14" i="9"/>
  <c r="U15" i="9"/>
  <c r="U16" i="9"/>
  <c r="V16" i="9" s="1"/>
  <c r="U17" i="9"/>
  <c r="V17" i="9" s="1"/>
  <c r="U18" i="9"/>
  <c r="V18" i="9"/>
  <c r="U19" i="9"/>
  <c r="V19" i="9"/>
  <c r="U20" i="9"/>
  <c r="V20" i="9" s="1"/>
  <c r="U21" i="9"/>
  <c r="U22" i="9"/>
  <c r="V22" i="9" s="1"/>
  <c r="U23" i="9"/>
  <c r="V23" i="9" s="1"/>
  <c r="U24" i="9"/>
  <c r="V24" i="9"/>
  <c r="U25" i="9"/>
  <c r="V25" i="9" s="1"/>
  <c r="U3" i="9"/>
  <c r="S27" i="9"/>
  <c r="T27" i="9" s="1"/>
  <c r="T17" i="9"/>
  <c r="T18" i="9"/>
  <c r="T19" i="9"/>
  <c r="T20" i="9"/>
  <c r="T21" i="9"/>
  <c r="T22" i="9"/>
  <c r="T23" i="9"/>
  <c r="T24" i="9"/>
  <c r="T16" i="9"/>
  <c r="M39" i="9"/>
  <c r="N39" i="9" s="1"/>
  <c r="M42" i="9"/>
  <c r="N42" i="9" s="1"/>
  <c r="M37" i="9"/>
  <c r="M41" i="9" s="1"/>
  <c r="N34" i="9"/>
  <c r="M34" i="9"/>
  <c r="M33" i="9"/>
  <c r="J28" i="9"/>
  <c r="J29" i="9"/>
  <c r="J31" i="9" s="1"/>
  <c r="J27" i="9"/>
  <c r="M25" i="9"/>
  <c r="N25" i="9"/>
  <c r="K17" i="9"/>
  <c r="K18" i="9"/>
  <c r="K19" i="9"/>
  <c r="K20" i="9"/>
  <c r="K21" i="9"/>
  <c r="K22" i="9"/>
  <c r="K23" i="9"/>
  <c r="K24" i="9"/>
  <c r="K16" i="9"/>
  <c r="E42" i="4"/>
  <c r="G65" i="6"/>
  <c r="I35" i="6"/>
  <c r="K2" i="4"/>
  <c r="H62" i="6"/>
  <c r="G64" i="6"/>
  <c r="F65" i="6"/>
  <c r="E66" i="6"/>
  <c r="D67" i="6"/>
  <c r="D42" i="4"/>
  <c r="H41" i="4"/>
  <c r="G41" i="4"/>
  <c r="C42" i="4"/>
  <c r="E65" i="6"/>
  <c r="I54" i="6"/>
  <c r="D65" i="6"/>
  <c r="E64" i="6"/>
  <c r="F62" i="6"/>
  <c r="H60" i="6"/>
  <c r="G61" i="6"/>
  <c r="C66" i="6"/>
  <c r="B42" i="4"/>
  <c r="B47" i="4" s="1"/>
  <c r="F41" i="4"/>
  <c r="I55" i="6"/>
  <c r="I56" i="6"/>
  <c r="I57" i="6"/>
  <c r="C65" i="6"/>
  <c r="C64" i="6"/>
  <c r="E62" i="6"/>
  <c r="H59" i="6"/>
  <c r="E41" i="4"/>
  <c r="A42" i="4"/>
  <c r="I40" i="4"/>
  <c r="G59" i="6"/>
  <c r="D62" i="6"/>
  <c r="E61" i="6"/>
  <c r="F60" i="6"/>
  <c r="H57" i="6"/>
  <c r="D41" i="4"/>
  <c r="H40" i="4"/>
  <c r="C62" i="6"/>
  <c r="H56" i="6"/>
  <c r="G57" i="6"/>
  <c r="F59" i="6"/>
  <c r="E60" i="6"/>
  <c r="D61" i="6"/>
  <c r="B41" i="4"/>
  <c r="G40" i="4"/>
  <c r="C41" i="4"/>
  <c r="H55" i="6"/>
  <c r="F57" i="6"/>
  <c r="D60" i="6"/>
  <c r="E59" i="6"/>
  <c r="G56" i="6"/>
  <c r="F40" i="4"/>
  <c r="J39" i="4"/>
  <c r="C60" i="6"/>
  <c r="D59" i="6"/>
  <c r="F56" i="6"/>
  <c r="I39" i="4"/>
  <c r="E40" i="4"/>
  <c r="J35" i="4"/>
  <c r="A41" i="4"/>
  <c r="G54" i="6"/>
  <c r="F55" i="6"/>
  <c r="E56" i="6"/>
  <c r="D57" i="6"/>
  <c r="H39" i="4"/>
  <c r="D40" i="4"/>
  <c r="F54" i="6"/>
  <c r="E55" i="6"/>
  <c r="D56" i="6"/>
  <c r="C57" i="6"/>
  <c r="G39" i="4"/>
  <c r="C40" i="4"/>
  <c r="E54" i="6"/>
  <c r="D55" i="6"/>
  <c r="C56" i="6"/>
  <c r="J38" i="4"/>
  <c r="F39" i="4"/>
  <c r="B40" i="4"/>
  <c r="E39" i="4"/>
  <c r="C55" i="6"/>
  <c r="C54" i="6"/>
  <c r="I38" i="4"/>
  <c r="A40" i="4"/>
  <c r="G38" i="4"/>
  <c r="D39" i="4"/>
  <c r="J37" i="4"/>
  <c r="F38" i="4"/>
  <c r="B39" i="4"/>
  <c r="E38" i="4"/>
  <c r="C49" i="6"/>
  <c r="I37" i="4"/>
  <c r="A39" i="4"/>
  <c r="C38" i="4"/>
  <c r="H37" i="4"/>
  <c r="J36" i="4"/>
  <c r="G37" i="4"/>
  <c r="I36" i="4"/>
  <c r="H36" i="4"/>
  <c r="B38" i="4"/>
  <c r="F37" i="4"/>
  <c r="C34" i="4"/>
  <c r="F35" i="4"/>
  <c r="J33" i="4"/>
  <c r="J34" i="4"/>
  <c r="G34" i="4"/>
  <c r="G35" i="4"/>
  <c r="G36" i="4"/>
  <c r="H34" i="4"/>
  <c r="H35" i="4"/>
  <c r="I34" i="4"/>
  <c r="I35" i="4"/>
  <c r="C35" i="4"/>
  <c r="C36" i="4"/>
  <c r="C37" i="4"/>
  <c r="D35" i="4"/>
  <c r="D36" i="4"/>
  <c r="D37" i="4"/>
  <c r="E35" i="4"/>
  <c r="E36" i="4"/>
  <c r="E37" i="4"/>
  <c r="A38" i="4"/>
  <c r="B35" i="4"/>
  <c r="B36" i="4"/>
  <c r="B37" i="4"/>
  <c r="F36" i="4"/>
  <c r="A37" i="4"/>
  <c r="J32" i="4"/>
  <c r="I32" i="4"/>
  <c r="I33" i="4"/>
  <c r="H33" i="4"/>
  <c r="G33" i="4"/>
  <c r="F33" i="4"/>
  <c r="F34" i="4"/>
  <c r="E33" i="4"/>
  <c r="E34" i="4"/>
  <c r="D34" i="4"/>
  <c r="A36" i="4"/>
  <c r="A29" i="4"/>
  <c r="A30" i="4"/>
  <c r="A31" i="4"/>
  <c r="A32" i="4"/>
  <c r="A33" i="4"/>
  <c r="A34" i="4"/>
  <c r="A35" i="4"/>
  <c r="I31" i="4"/>
  <c r="J30" i="4"/>
  <c r="J31" i="4"/>
  <c r="H31" i="4"/>
  <c r="H32" i="4"/>
  <c r="G31" i="4"/>
  <c r="G32" i="4"/>
  <c r="F31" i="4"/>
  <c r="F32" i="4"/>
  <c r="E32" i="4"/>
  <c r="D32" i="4"/>
  <c r="D33" i="4"/>
  <c r="C32" i="4"/>
  <c r="C33" i="4"/>
  <c r="B32" i="4"/>
  <c r="B33" i="4"/>
  <c r="B34" i="4"/>
  <c r="I30" i="4"/>
  <c r="E31" i="4"/>
  <c r="H30" i="4"/>
  <c r="C31" i="4"/>
  <c r="G30" i="4"/>
  <c r="D31" i="4"/>
  <c r="AG31" i="5"/>
  <c r="J64" i="5"/>
  <c r="J33" i="2"/>
  <c r="J34" i="2"/>
  <c r="J32" i="2"/>
  <c r="I33" i="2"/>
  <c r="I34" i="2"/>
  <c r="I32" i="2"/>
  <c r="I36" i="2"/>
  <c r="I37" i="2"/>
  <c r="B31" i="4"/>
  <c r="J1" i="2"/>
  <c r="J1" i="10" s="1"/>
  <c r="AG1" i="5"/>
  <c r="J1" i="6" s="1"/>
  <c r="J43" i="6" s="1"/>
  <c r="J2" i="2"/>
  <c r="J2" i="10" s="1"/>
  <c r="K2" i="2"/>
  <c r="AG2" i="5" s="1"/>
  <c r="AG39" i="5" s="1"/>
  <c r="J3" i="2"/>
  <c r="J3" i="5" s="1"/>
  <c r="K1" i="4"/>
  <c r="K1" i="5" s="1"/>
  <c r="W1" i="5" s="1"/>
  <c r="Z7" i="5"/>
  <c r="Z44" i="5" s="1"/>
  <c r="AA7" i="5"/>
  <c r="AB7" i="5"/>
  <c r="AC7" i="5"/>
  <c r="AB44" i="5" s="1"/>
  <c r="AD7" i="5"/>
  <c r="AC44" i="5"/>
  <c r="AE7" i="5"/>
  <c r="AD44" i="5" s="1"/>
  <c r="AF7" i="5"/>
  <c r="AE44" i="5" s="1"/>
  <c r="AG7" i="5"/>
  <c r="AF44" i="5" s="1"/>
  <c r="Z8" i="5"/>
  <c r="AA8" i="5"/>
  <c r="AA45" i="5" s="1"/>
  <c r="Z45" i="5"/>
  <c r="AB8" i="5"/>
  <c r="AB45" i="5"/>
  <c r="AC8" i="5"/>
  <c r="AD8" i="5"/>
  <c r="AC45" i="5"/>
  <c r="AE8" i="5"/>
  <c r="AE45" i="5" s="1"/>
  <c r="AD45" i="5"/>
  <c r="AF8" i="5"/>
  <c r="AG8" i="5"/>
  <c r="AF45" i="5"/>
  <c r="Z9" i="5"/>
  <c r="AA9" i="5"/>
  <c r="Z46" i="5" s="1"/>
  <c r="AB9" i="5"/>
  <c r="AA46" i="5" s="1"/>
  <c r="AC9" i="5"/>
  <c r="AB46" i="5" s="1"/>
  <c r="AD9" i="5"/>
  <c r="AE9" i="5"/>
  <c r="AD46" i="5" s="1"/>
  <c r="AF9" i="5"/>
  <c r="AG9" i="5"/>
  <c r="AF46" i="5"/>
  <c r="Z10" i="5"/>
  <c r="Z47" i="5" s="1"/>
  <c r="AA10" i="5"/>
  <c r="AB10" i="5"/>
  <c r="AA47" i="5" s="1"/>
  <c r="AC10" i="5"/>
  <c r="AB47" i="5" s="1"/>
  <c r="AD10" i="5"/>
  <c r="AC47" i="5"/>
  <c r="AE10" i="5"/>
  <c r="AD47" i="5" s="1"/>
  <c r="AF10" i="5"/>
  <c r="AF47" i="5" s="1"/>
  <c r="AG10" i="5"/>
  <c r="D11" i="5"/>
  <c r="Z11" i="5"/>
  <c r="E11" i="5"/>
  <c r="AA11" i="5" s="1"/>
  <c r="F11" i="5"/>
  <c r="G11" i="5"/>
  <c r="AC11" i="5" s="1"/>
  <c r="H11" i="5"/>
  <c r="I11" i="5"/>
  <c r="AE11" i="5" s="1"/>
  <c r="J11" i="5"/>
  <c r="AF11" i="5" s="1"/>
  <c r="K11" i="5"/>
  <c r="O11" i="5"/>
  <c r="P11" i="5"/>
  <c r="Q11" i="5"/>
  <c r="AB11" i="5" s="1"/>
  <c r="R11" i="5"/>
  <c r="S11" i="5"/>
  <c r="AD11" i="5" s="1"/>
  <c r="T11" i="5"/>
  <c r="U11" i="5"/>
  <c r="V11" i="5"/>
  <c r="AG11" i="5" s="1"/>
  <c r="Z13" i="5"/>
  <c r="AA13" i="5"/>
  <c r="Z49" i="5" s="1"/>
  <c r="AB13" i="5"/>
  <c r="AA49" i="5" s="1"/>
  <c r="AC13" i="5"/>
  <c r="AD13" i="5"/>
  <c r="AE13" i="5"/>
  <c r="AD49" i="5"/>
  <c r="AF13" i="5"/>
  <c r="AG13" i="5"/>
  <c r="AF49" i="5" s="1"/>
  <c r="Z14" i="5"/>
  <c r="AA14" i="5"/>
  <c r="Z50" i="5" s="1"/>
  <c r="AB14" i="5"/>
  <c r="AA50" i="5" s="1"/>
  <c r="AC14" i="5"/>
  <c r="AB50" i="5" s="1"/>
  <c r="AD14" i="5"/>
  <c r="AD50" i="5" s="1"/>
  <c r="AE14" i="5"/>
  <c r="AF14" i="5"/>
  <c r="AE50" i="5" s="1"/>
  <c r="AG14" i="5"/>
  <c r="AF50" i="5" s="1"/>
  <c r="Z15" i="5"/>
  <c r="AA15" i="5"/>
  <c r="Z51" i="5" s="1"/>
  <c r="AB15" i="5"/>
  <c r="AC15" i="5"/>
  <c r="AB51" i="5" s="1"/>
  <c r="AD15" i="5"/>
  <c r="AC51" i="5"/>
  <c r="AE15" i="5"/>
  <c r="AD51" i="5" s="1"/>
  <c r="AF15" i="5"/>
  <c r="AG15" i="5"/>
  <c r="AF51" i="5" s="1"/>
  <c r="Z16" i="5"/>
  <c r="AA16" i="5"/>
  <c r="Z52" i="5" s="1"/>
  <c r="AA52" i="5"/>
  <c r="AB16" i="5"/>
  <c r="AC16" i="5"/>
  <c r="AB52" i="5" s="1"/>
  <c r="AD16" i="5"/>
  <c r="AE16" i="5"/>
  <c r="AF16" i="5"/>
  <c r="AF52" i="5" s="1"/>
  <c r="AE52" i="5"/>
  <c r="AG16" i="5"/>
  <c r="D17" i="5"/>
  <c r="E17" i="5"/>
  <c r="F17" i="5"/>
  <c r="AB17" i="5"/>
  <c r="G17" i="5"/>
  <c r="AC17" i="5" s="1"/>
  <c r="H17" i="5"/>
  <c r="I17" i="5"/>
  <c r="J17" i="5"/>
  <c r="AF17" i="5" s="1"/>
  <c r="K17" i="5"/>
  <c r="AG17" i="5" s="1"/>
  <c r="O17" i="5"/>
  <c r="Z17" i="5"/>
  <c r="P17" i="5"/>
  <c r="AA17" i="5" s="1"/>
  <c r="Q17" i="5"/>
  <c r="R17" i="5"/>
  <c r="S17" i="5"/>
  <c r="AD17" i="5" s="1"/>
  <c r="T17" i="5"/>
  <c r="AE17" i="5"/>
  <c r="U17" i="5"/>
  <c r="V17" i="5"/>
  <c r="Z19" i="5"/>
  <c r="Z54" i="5" s="1"/>
  <c r="AA19" i="5"/>
  <c r="AB19" i="5"/>
  <c r="AB54" i="5"/>
  <c r="AA54" i="5"/>
  <c r="AC19" i="5"/>
  <c r="AD19" i="5"/>
  <c r="AC54" i="5"/>
  <c r="AE19" i="5"/>
  <c r="AF19" i="5"/>
  <c r="AE54" i="5" s="1"/>
  <c r="AG19" i="5"/>
  <c r="AF54" i="5"/>
  <c r="Z20" i="5"/>
  <c r="AA20" i="5"/>
  <c r="Z55" i="5"/>
  <c r="AB20" i="5"/>
  <c r="AC20" i="5"/>
  <c r="AB55" i="5" s="1"/>
  <c r="AD20" i="5"/>
  <c r="AC55" i="5" s="1"/>
  <c r="AD55" i="5"/>
  <c r="AE20" i="5"/>
  <c r="AE55" i="5"/>
  <c r="AF20" i="5"/>
  <c r="AG20" i="5"/>
  <c r="Z21" i="5"/>
  <c r="AA21" i="5"/>
  <c r="AA56" i="5" s="1"/>
  <c r="Z56" i="5"/>
  <c r="AB21" i="5"/>
  <c r="AC21" i="5"/>
  <c r="AB56" i="5" s="1"/>
  <c r="AD21" i="5"/>
  <c r="AE21" i="5"/>
  <c r="AD56" i="5"/>
  <c r="AF21" i="5"/>
  <c r="AE56" i="5" s="1"/>
  <c r="AG21" i="5"/>
  <c r="AF56" i="5" s="1"/>
  <c r="Z22" i="5"/>
  <c r="AA22" i="5"/>
  <c r="Z57" i="5" s="1"/>
  <c r="AB22" i="5"/>
  <c r="AA57" i="5"/>
  <c r="AC22" i="5"/>
  <c r="AB57" i="5" s="1"/>
  <c r="AD22" i="5"/>
  <c r="AC57" i="5" s="1"/>
  <c r="AE22" i="5"/>
  <c r="AD57" i="5" s="1"/>
  <c r="AF22" i="5"/>
  <c r="AE57" i="5"/>
  <c r="AG22" i="5"/>
  <c r="AF57" i="5" s="1"/>
  <c r="D23" i="5"/>
  <c r="E23" i="5"/>
  <c r="AA23" i="5" s="1"/>
  <c r="F23" i="5"/>
  <c r="G23" i="5"/>
  <c r="H23" i="5"/>
  <c r="I23" i="5"/>
  <c r="J23" i="5"/>
  <c r="AF23" i="5" s="1"/>
  <c r="K23" i="5"/>
  <c r="O23" i="5"/>
  <c r="P23" i="5"/>
  <c r="Q23" i="5"/>
  <c r="R23" i="5"/>
  <c r="S23" i="5"/>
  <c r="T23" i="5"/>
  <c r="U23" i="5"/>
  <c r="V23" i="5"/>
  <c r="AG23" i="5"/>
  <c r="Z23" i="5"/>
  <c r="AB23" i="5"/>
  <c r="AC23" i="5"/>
  <c r="AD23" i="5"/>
  <c r="AE23" i="5"/>
  <c r="Z25" i="5"/>
  <c r="AA25" i="5"/>
  <c r="Z59" i="5" s="1"/>
  <c r="AB25" i="5"/>
  <c r="AA59" i="5" s="1"/>
  <c r="AC25" i="5"/>
  <c r="AB59" i="5" s="1"/>
  <c r="AD25" i="5"/>
  <c r="AC59" i="5" s="1"/>
  <c r="AE25" i="5"/>
  <c r="AF25" i="5"/>
  <c r="AG25" i="5"/>
  <c r="AF59" i="5" s="1"/>
  <c r="Z26" i="5"/>
  <c r="AA26" i="5"/>
  <c r="Z60" i="5" s="1"/>
  <c r="AB26" i="5"/>
  <c r="AC26" i="5"/>
  <c r="AB60" i="5" s="1"/>
  <c r="AD26" i="5"/>
  <c r="AE26" i="5"/>
  <c r="AE60" i="5" s="1"/>
  <c r="AD60" i="5"/>
  <c r="AF26" i="5"/>
  <c r="AG26" i="5"/>
  <c r="AF60" i="5" s="1"/>
  <c r="Z27" i="5"/>
  <c r="AA27" i="5"/>
  <c r="Z61" i="5" s="1"/>
  <c r="AB27" i="5"/>
  <c r="AA61" i="5" s="1"/>
  <c r="AC27" i="5"/>
  <c r="AD27" i="5"/>
  <c r="AC61" i="5"/>
  <c r="AE27" i="5"/>
  <c r="AF27" i="5"/>
  <c r="AG27" i="5"/>
  <c r="Z28" i="5"/>
  <c r="AA28" i="5"/>
  <c r="Z62" i="5"/>
  <c r="AB28" i="5"/>
  <c r="AA62" i="5"/>
  <c r="AC28" i="5"/>
  <c r="AB62" i="5"/>
  <c r="AD28" i="5"/>
  <c r="AC62" i="5" s="1"/>
  <c r="AE28" i="5"/>
  <c r="AD62" i="5" s="1"/>
  <c r="AF28" i="5"/>
  <c r="AE62" i="5" s="1"/>
  <c r="AG28" i="5"/>
  <c r="AF62" i="5" s="1"/>
  <c r="D29" i="5"/>
  <c r="Z29" i="5" s="1"/>
  <c r="E29" i="5"/>
  <c r="AA29" i="5" s="1"/>
  <c r="F29" i="5"/>
  <c r="G29" i="5"/>
  <c r="H29" i="5"/>
  <c r="I29" i="5"/>
  <c r="J29" i="5"/>
  <c r="AF29" i="5" s="1"/>
  <c r="K29" i="5"/>
  <c r="AG29" i="5" s="1"/>
  <c r="O29" i="5"/>
  <c r="P29" i="5"/>
  <c r="Q29" i="5"/>
  <c r="AB29" i="5"/>
  <c r="R29" i="5"/>
  <c r="AC29" i="5" s="1"/>
  <c r="S29" i="5"/>
  <c r="AD29" i="5" s="1"/>
  <c r="T29" i="5"/>
  <c r="AE29" i="5"/>
  <c r="U29" i="5"/>
  <c r="V29" i="5"/>
  <c r="Z31" i="5"/>
  <c r="AA31" i="5"/>
  <c r="Z64" i="5" s="1"/>
  <c r="AB31" i="5"/>
  <c r="AC31" i="5"/>
  <c r="AB64" i="5" s="1"/>
  <c r="AD31" i="5"/>
  <c r="AC64" i="5" s="1"/>
  <c r="AE31" i="5"/>
  <c r="AF31" i="5"/>
  <c r="AE64" i="5" s="1"/>
  <c r="F44" i="5"/>
  <c r="F45" i="5"/>
  <c r="F69" i="5" s="1"/>
  <c r="F70" i="5" s="1"/>
  <c r="F46" i="5"/>
  <c r="F47" i="5"/>
  <c r="F49" i="5"/>
  <c r="F50" i="5"/>
  <c r="F51" i="5"/>
  <c r="F52" i="5"/>
  <c r="F54" i="5"/>
  <c r="F55" i="5"/>
  <c r="F56" i="5"/>
  <c r="F57" i="5"/>
  <c r="F59" i="5"/>
  <c r="F60" i="5"/>
  <c r="F61" i="5"/>
  <c r="F62" i="5"/>
  <c r="F64" i="5"/>
  <c r="G44" i="5"/>
  <c r="G45" i="5"/>
  <c r="G69" i="5" s="1"/>
  <c r="G70" i="5" s="1"/>
  <c r="G46" i="5"/>
  <c r="G47" i="5"/>
  <c r="G49" i="5"/>
  <c r="G50" i="5"/>
  <c r="G51" i="5"/>
  <c r="G52" i="5"/>
  <c r="G54" i="5"/>
  <c r="G55" i="5"/>
  <c r="G56" i="5"/>
  <c r="G57" i="5"/>
  <c r="G59" i="5"/>
  <c r="G60" i="5"/>
  <c r="G61" i="5"/>
  <c r="G62" i="5"/>
  <c r="G64" i="5"/>
  <c r="H60" i="5"/>
  <c r="H70" i="5" s="1"/>
  <c r="H61" i="5"/>
  <c r="H62" i="5"/>
  <c r="I44" i="5"/>
  <c r="I45" i="5"/>
  <c r="I46" i="5"/>
  <c r="I69" i="5" s="1"/>
  <c r="I47" i="5"/>
  <c r="I49" i="5"/>
  <c r="I50" i="5"/>
  <c r="I51" i="5"/>
  <c r="I52" i="5"/>
  <c r="I54" i="5"/>
  <c r="I55" i="5"/>
  <c r="I56" i="5"/>
  <c r="I57" i="5"/>
  <c r="I59" i="5"/>
  <c r="I60" i="5"/>
  <c r="I61" i="5"/>
  <c r="I64" i="5"/>
  <c r="J49" i="5"/>
  <c r="J50" i="5"/>
  <c r="J70" i="5" s="1"/>
  <c r="J74" i="5" s="1"/>
  <c r="J51" i="5"/>
  <c r="J52" i="5"/>
  <c r="AF74" i="5"/>
  <c r="AE74" i="5" s="1"/>
  <c r="AD74" i="5" s="1"/>
  <c r="AC32" i="5"/>
  <c r="AD32" i="5"/>
  <c r="E44" i="5"/>
  <c r="E69" i="5" s="1"/>
  <c r="E70" i="5" s="1"/>
  <c r="E45" i="5"/>
  <c r="E46" i="5"/>
  <c r="E47" i="5"/>
  <c r="E49" i="5"/>
  <c r="E50" i="5"/>
  <c r="E51" i="5"/>
  <c r="E52" i="5"/>
  <c r="E54" i="5"/>
  <c r="E55" i="5"/>
  <c r="E56" i="5"/>
  <c r="E57" i="5"/>
  <c r="E59" i="5"/>
  <c r="E60" i="5"/>
  <c r="E61" i="5"/>
  <c r="E62" i="5"/>
  <c r="E64" i="5"/>
  <c r="AB33" i="5"/>
  <c r="AC33" i="5"/>
  <c r="D44" i="5"/>
  <c r="D70" i="5" s="1"/>
  <c r="D45" i="5"/>
  <c r="D46" i="5"/>
  <c r="D69" i="5" s="1"/>
  <c r="D47" i="5"/>
  <c r="D50" i="5"/>
  <c r="D51" i="5"/>
  <c r="D52" i="5"/>
  <c r="D54" i="5"/>
  <c r="D55" i="5"/>
  <c r="D56" i="5"/>
  <c r="D57" i="5"/>
  <c r="D59" i="5"/>
  <c r="D60" i="5"/>
  <c r="D61" i="5"/>
  <c r="D62" i="5"/>
  <c r="D64" i="5"/>
  <c r="AA34" i="5"/>
  <c r="AB34" i="5"/>
  <c r="D35" i="5"/>
  <c r="E35" i="5"/>
  <c r="AA35" i="5" s="1"/>
  <c r="F35" i="5"/>
  <c r="G35" i="5"/>
  <c r="H35" i="5"/>
  <c r="AD35" i="5" s="1"/>
  <c r="I35" i="5"/>
  <c r="AE35" i="5" s="1"/>
  <c r="J35" i="5"/>
  <c r="O35" i="5"/>
  <c r="Z35" i="5" s="1"/>
  <c r="P35" i="5"/>
  <c r="Q35" i="5"/>
  <c r="R35" i="5"/>
  <c r="AC35" i="5"/>
  <c r="S35" i="5"/>
  <c r="T35" i="5"/>
  <c r="U35" i="5"/>
  <c r="H44" i="5"/>
  <c r="H69" i="5" s="1"/>
  <c r="J44" i="5"/>
  <c r="H45" i="5"/>
  <c r="J45" i="5"/>
  <c r="J69" i="5" s="1"/>
  <c r="H46" i="5"/>
  <c r="J46" i="5"/>
  <c r="H47" i="5"/>
  <c r="J47" i="5"/>
  <c r="D49" i="5"/>
  <c r="H49" i="5"/>
  <c r="H50" i="5"/>
  <c r="H51" i="5"/>
  <c r="H52" i="5"/>
  <c r="H54" i="5"/>
  <c r="J54" i="5"/>
  <c r="H55" i="5"/>
  <c r="J55" i="5"/>
  <c r="H56" i="5"/>
  <c r="J56" i="5"/>
  <c r="H57" i="5"/>
  <c r="J57" i="5"/>
  <c r="H59" i="5"/>
  <c r="J59" i="5"/>
  <c r="J60" i="5"/>
  <c r="J61" i="5"/>
  <c r="I62" i="5"/>
  <c r="J62" i="5"/>
  <c r="H64" i="5"/>
  <c r="B29" i="4"/>
  <c r="C29" i="4"/>
  <c r="D29" i="4"/>
  <c r="E29" i="4"/>
  <c r="F29" i="4"/>
  <c r="G29" i="4"/>
  <c r="H29" i="4"/>
  <c r="I29" i="4"/>
  <c r="J29" i="4"/>
  <c r="B30" i="4"/>
  <c r="C30" i="4"/>
  <c r="D30" i="4"/>
  <c r="E30" i="4"/>
  <c r="F30" i="4"/>
  <c r="K1" i="2"/>
  <c r="B8" i="2"/>
  <c r="B24" i="2"/>
  <c r="D8" i="2"/>
  <c r="C24" i="2" s="1"/>
  <c r="E8" i="2"/>
  <c r="F8" i="2"/>
  <c r="E24" i="2"/>
  <c r="G8" i="2"/>
  <c r="F24" i="2" s="1"/>
  <c r="H8" i="2"/>
  <c r="I8" i="2"/>
  <c r="J8" i="2"/>
  <c r="I24" i="2"/>
  <c r="K8" i="2"/>
  <c r="J24" i="2"/>
  <c r="B9" i="2"/>
  <c r="C9" i="2"/>
  <c r="C25" i="2"/>
  <c r="D9" i="2"/>
  <c r="E9" i="2"/>
  <c r="D25" i="2"/>
  <c r="F9" i="2"/>
  <c r="F25" i="2" s="1"/>
  <c r="E25" i="2"/>
  <c r="G9" i="2"/>
  <c r="H9" i="2"/>
  <c r="G25" i="2" s="1"/>
  <c r="I9" i="2"/>
  <c r="J9" i="2"/>
  <c r="I25" i="2"/>
  <c r="K9" i="2"/>
  <c r="J25" i="2" s="1"/>
  <c r="B10" i="2"/>
  <c r="C10" i="2"/>
  <c r="B26" i="2" s="1"/>
  <c r="D10" i="2"/>
  <c r="B11" i="2"/>
  <c r="B27" i="2"/>
  <c r="E12" i="2"/>
  <c r="E28" i="2"/>
  <c r="D28" i="2"/>
  <c r="E26" i="2"/>
  <c r="F26" i="2"/>
  <c r="G26" i="2"/>
  <c r="H26" i="2"/>
  <c r="I26" i="2"/>
  <c r="J26" i="2"/>
  <c r="C27" i="2"/>
  <c r="D27" i="2"/>
  <c r="E27" i="2"/>
  <c r="F27" i="2"/>
  <c r="G27" i="2"/>
  <c r="H27" i="2"/>
  <c r="I27" i="2"/>
  <c r="J27" i="2"/>
  <c r="B28" i="2"/>
  <c r="C28" i="2"/>
  <c r="F28" i="2"/>
  <c r="G28" i="2"/>
  <c r="H28" i="2"/>
  <c r="I28" i="2"/>
  <c r="J28" i="2"/>
  <c r="B29" i="2"/>
  <c r="C29" i="2"/>
  <c r="D29" i="2"/>
  <c r="E29" i="2"/>
  <c r="F29" i="2"/>
  <c r="G29" i="2"/>
  <c r="H29" i="2"/>
  <c r="I29" i="2"/>
  <c r="J29" i="2"/>
  <c r="B30" i="2"/>
  <c r="C30" i="2"/>
  <c r="D30" i="2"/>
  <c r="E30" i="2"/>
  <c r="F30" i="2"/>
  <c r="G30" i="2"/>
  <c r="H30" i="2"/>
  <c r="I30" i="2"/>
  <c r="J30" i="2"/>
  <c r="B31" i="2"/>
  <c r="C31" i="2"/>
  <c r="D31" i="2"/>
  <c r="E31" i="2"/>
  <c r="F31" i="2"/>
  <c r="G31" i="2"/>
  <c r="H31" i="2"/>
  <c r="I31" i="2"/>
  <c r="J31" i="2"/>
  <c r="B32" i="2"/>
  <c r="C32" i="2"/>
  <c r="D32" i="2"/>
  <c r="D36" i="2" s="1"/>
  <c r="E32" i="2"/>
  <c r="E36" i="2" s="1"/>
  <c r="E37" i="2" s="1"/>
  <c r="F32" i="2"/>
  <c r="F36" i="2" s="1"/>
  <c r="F37" i="2" s="1"/>
  <c r="G32" i="2"/>
  <c r="H32" i="2"/>
  <c r="H37" i="2" s="1"/>
  <c r="B33" i="2"/>
  <c r="C33" i="2"/>
  <c r="C36" i="2" s="1"/>
  <c r="D33" i="2"/>
  <c r="E33" i="2"/>
  <c r="F33" i="2"/>
  <c r="G33" i="2"/>
  <c r="H33" i="2"/>
  <c r="H36" i="2"/>
  <c r="B34" i="2"/>
  <c r="C34" i="2"/>
  <c r="C37" i="2"/>
  <c r="D34" i="2"/>
  <c r="E34" i="2"/>
  <c r="F34" i="2"/>
  <c r="G34" i="2"/>
  <c r="G36" i="2" s="1"/>
  <c r="G37" i="2" s="1"/>
  <c r="H34" i="2"/>
  <c r="J43" i="2"/>
  <c r="I43" i="2" s="1"/>
  <c r="H43" i="2" s="1"/>
  <c r="G43" i="2" s="1"/>
  <c r="F43" i="2" s="1"/>
  <c r="H3" i="1"/>
  <c r="D24" i="2"/>
  <c r="AF55" i="5"/>
  <c r="D38" i="4"/>
  <c r="AB35" i="5"/>
  <c r="H38" i="4"/>
  <c r="C39" i="4"/>
  <c r="AA55" i="5"/>
  <c r="D26" i="2"/>
  <c r="D54" i="6"/>
  <c r="J36" i="2"/>
  <c r="AE47" i="5"/>
  <c r="AF35" i="5"/>
  <c r="AC60" i="5"/>
  <c r="H54" i="6"/>
  <c r="AF61" i="5"/>
  <c r="E57" i="6"/>
  <c r="G55" i="6"/>
  <c r="AD54" i="5"/>
  <c r="B36" i="2"/>
  <c r="C61" i="6"/>
  <c r="AD52" i="5"/>
  <c r="H25" i="2"/>
  <c r="AC49" i="5"/>
  <c r="AE61" i="5"/>
  <c r="AE59" i="5"/>
  <c r="AC56" i="5"/>
  <c r="F61" i="6"/>
  <c r="G60" i="6"/>
  <c r="AA44" i="5"/>
  <c r="AE49" i="5"/>
  <c r="AD61" i="5"/>
  <c r="B25" i="2"/>
  <c r="AE46" i="5"/>
  <c r="AD64" i="5"/>
  <c r="D64" i="6"/>
  <c r="H24" i="2"/>
  <c r="D66" i="6"/>
  <c r="G62" i="6"/>
  <c r="F64" i="6"/>
  <c r="C67" i="6"/>
  <c r="H61" i="6"/>
  <c r="M82" i="1"/>
  <c r="O82" i="1" s="1"/>
  <c r="M81" i="1"/>
  <c r="O81" i="1" s="1"/>
  <c r="M80" i="1"/>
  <c r="O80" i="1" s="1"/>
  <c r="C69" i="6"/>
  <c r="E67" i="6"/>
  <c r="I41" i="4"/>
  <c r="D69" i="6"/>
  <c r="C70" i="6"/>
  <c r="I29" i="6"/>
  <c r="K23" i="6"/>
  <c r="H80" i="6" l="1"/>
  <c r="G80" i="6"/>
  <c r="F80" i="6"/>
  <c r="E80" i="6"/>
  <c r="D80" i="6"/>
  <c r="G81" i="6"/>
  <c r="G47" i="4"/>
  <c r="E48" i="4"/>
  <c r="F81" i="6"/>
  <c r="C80" i="6"/>
  <c r="C81" i="6"/>
  <c r="E81" i="6"/>
  <c r="L23" i="6"/>
  <c r="F48" i="4"/>
  <c r="G48" i="4"/>
  <c r="H48" i="4"/>
  <c r="K17" i="6"/>
  <c r="L17" i="6" s="1"/>
  <c r="B48" i="4"/>
  <c r="D48" i="4"/>
  <c r="I48" i="4"/>
  <c r="J48" i="4"/>
  <c r="J54" i="4" s="1"/>
  <c r="C47" i="4"/>
  <c r="C48" i="4" s="1"/>
  <c r="J1" i="5"/>
  <c r="J38" i="5" s="1"/>
  <c r="J1" i="4"/>
  <c r="I1" i="6" s="1"/>
  <c r="I43" i="6" s="1"/>
  <c r="AG38" i="5"/>
  <c r="J3" i="4"/>
  <c r="I3" i="6" s="1"/>
  <c r="I45" i="6" s="1"/>
  <c r="J2" i="5"/>
  <c r="J39" i="5" s="1"/>
  <c r="J2" i="4"/>
  <c r="I2" i="6" s="1"/>
  <c r="I44" i="6" s="1"/>
  <c r="K38" i="5"/>
  <c r="L11" i="6"/>
  <c r="V1" i="5"/>
  <c r="AF1" i="5" s="1"/>
  <c r="AF38" i="5" s="1"/>
  <c r="K2" i="5"/>
  <c r="J3" i="10"/>
  <c r="Z69" i="5"/>
  <c r="Z70" i="5" s="1"/>
  <c r="K20" i="10"/>
  <c r="AD69" i="5"/>
  <c r="E43" i="2"/>
  <c r="D43" i="2" s="1"/>
  <c r="C43" i="2" s="1"/>
  <c r="B43" i="2" s="1"/>
  <c r="J40" i="5"/>
  <c r="V3" i="5"/>
  <c r="AF3" i="5" s="1"/>
  <c r="AF40" i="5" s="1"/>
  <c r="I44" i="10"/>
  <c r="I45" i="10" s="1"/>
  <c r="I51" i="10" s="1"/>
  <c r="H51" i="10" s="1"/>
  <c r="G51" i="10" s="1"/>
  <c r="F51" i="10" s="1"/>
  <c r="H74" i="5"/>
  <c r="G74" i="5"/>
  <c r="F74" i="5" s="1"/>
  <c r="AF69" i="5"/>
  <c r="AA64" i="5"/>
  <c r="C26" i="2"/>
  <c r="I70" i="5"/>
  <c r="I74" i="5" s="1"/>
  <c r="AF64" i="5"/>
  <c r="AC50" i="5"/>
  <c r="AC52" i="5"/>
  <c r="E29" i="9"/>
  <c r="G24" i="2"/>
  <c r="AB61" i="5"/>
  <c r="AA60" i="5"/>
  <c r="AD59" i="5"/>
  <c r="AE51" i="5"/>
  <c r="AE69" i="5" s="1"/>
  <c r="AA51" i="5"/>
  <c r="AA69" i="5" s="1"/>
  <c r="AA70" i="5" s="1"/>
  <c r="AB49" i="5"/>
  <c r="AB69" i="5" s="1"/>
  <c r="AB70" i="5" s="1"/>
  <c r="AC46" i="5"/>
  <c r="D37" i="2"/>
  <c r="J2" i="6"/>
  <c r="J44" i="6" s="1"/>
  <c r="I54" i="4" l="1"/>
  <c r="H54" i="4" s="1"/>
  <c r="G54" i="4" s="1"/>
  <c r="V2" i="5"/>
  <c r="AF2" i="5" s="1"/>
  <c r="AF39" i="5" s="1"/>
  <c r="K39" i="5"/>
  <c r="W2" i="5"/>
  <c r="K32" i="5"/>
  <c r="E74" i="5"/>
  <c r="K21" i="10"/>
  <c r="E51" i="10"/>
  <c r="D51" i="10" s="1"/>
  <c r="C51" i="10" s="1"/>
  <c r="B51" i="10" s="1"/>
  <c r="K22" i="10" s="1"/>
  <c r="AC69" i="5"/>
  <c r="AC70" i="5" s="1"/>
  <c r="AC74" i="5" s="1"/>
  <c r="AB74" i="5" s="1"/>
  <c r="F54" i="4" l="1"/>
  <c r="K22" i="4"/>
  <c r="C42" i="6"/>
  <c r="E54" i="4"/>
  <c r="D54" i="4" s="1"/>
  <c r="C54" i="4" s="1"/>
  <c r="K23" i="4" s="1"/>
  <c r="K35" i="6"/>
  <c r="K29" i="6"/>
  <c r="AG32" i="5"/>
  <c r="V32" i="5" s="1"/>
  <c r="AA74" i="5"/>
  <c r="K33" i="5"/>
  <c r="D74" i="5"/>
  <c r="K34" i="5" s="1"/>
  <c r="K35" i="5"/>
  <c r="B54" i="4" l="1"/>
  <c r="K41" i="6"/>
  <c r="V33" i="5"/>
  <c r="AG33" i="5"/>
  <c r="Z74" i="5"/>
  <c r="AG34" i="5" s="1"/>
  <c r="V34" i="5" s="1"/>
  <c r="V35" i="5" s="1"/>
  <c r="AG35" i="5" s="1"/>
  <c r="J29" i="6" l="1"/>
  <c r="L29" i="6" s="1"/>
  <c r="I67" i="6"/>
  <c r="I66" i="6"/>
  <c r="I65" i="6"/>
  <c r="I64" i="6"/>
  <c r="I80" i="6" s="1"/>
  <c r="I81" i="6" l="1"/>
  <c r="I85" i="6" s="1"/>
  <c r="J31" i="6" l="1"/>
  <c r="J32" i="6"/>
  <c r="H85" i="6"/>
  <c r="G85" i="6" l="1"/>
  <c r="J34" i="6" s="1"/>
  <c r="J33" i="6"/>
  <c r="F85" i="6" l="1"/>
  <c r="J37" i="6" s="1"/>
  <c r="J35" i="6"/>
  <c r="L35" i="6" s="1"/>
  <c r="E85" i="6" l="1"/>
  <c r="J38" i="6"/>
  <c r="D85" i="6"/>
  <c r="C85" i="6" l="1"/>
  <c r="J40" i="6" s="1"/>
  <c r="J39" i="6"/>
  <c r="J41" i="6" l="1"/>
  <c r="K44" i="6" l="1"/>
  <c r="L41" i="6"/>
</calcChain>
</file>

<file path=xl/sharedStrings.xml><?xml version="1.0" encoding="utf-8"?>
<sst xmlns="http://schemas.openxmlformats.org/spreadsheetml/2006/main" count="1505" uniqueCount="173">
  <si>
    <t>SUMMARY EXHIBIT</t>
  </si>
  <si>
    <t>Dollars</t>
  </si>
  <si>
    <t>% Prem</t>
  </si>
  <si>
    <t>Premium</t>
  </si>
  <si>
    <t>Losses Incurred and ALAE</t>
  </si>
  <si>
    <t>Underwriting Expenses</t>
  </si>
  <si>
    <t xml:space="preserve">                       Prior Qtr Estimate</t>
  </si>
  <si>
    <t xml:space="preserve">                       Current Qtr Estimate</t>
  </si>
  <si>
    <t xml:space="preserve">                         Variance</t>
  </si>
  <si>
    <t>Percent</t>
  </si>
  <si>
    <t>Ceded Written Premium (000's omitted)</t>
  </si>
  <si>
    <t>Policy</t>
  </si>
  <si>
    <t>Year</t>
  </si>
  <si>
    <t>9 mos</t>
  </si>
  <si>
    <t>12 mos</t>
  </si>
  <si>
    <t>15 mos</t>
  </si>
  <si>
    <t>18 mos</t>
  </si>
  <si>
    <t>21 mos</t>
  </si>
  <si>
    <t>24 mos</t>
  </si>
  <si>
    <t>27 mos</t>
  </si>
  <si>
    <t>30 mos</t>
  </si>
  <si>
    <t>33 mos</t>
  </si>
  <si>
    <t>Ultimate</t>
  </si>
  <si>
    <t>Written Premium Development Factors</t>
  </si>
  <si>
    <t>9-12</t>
  </si>
  <si>
    <t>12-15</t>
  </si>
  <si>
    <t>15-18</t>
  </si>
  <si>
    <t>18-21</t>
  </si>
  <si>
    <t>21-24</t>
  </si>
  <si>
    <t>24-27</t>
  </si>
  <si>
    <t>27-30</t>
  </si>
  <si>
    <t>30-33</t>
  </si>
  <si>
    <t>33-Ult.</t>
  </si>
  <si>
    <t xml:space="preserve"> 3Yr Avg</t>
  </si>
  <si>
    <t>Selected</t>
  </si>
  <si>
    <t>Factors to Ultimate</t>
  </si>
  <si>
    <t>9-Ult.</t>
  </si>
  <si>
    <t>12-Ult.</t>
  </si>
  <si>
    <t>15-Ult.</t>
  </si>
  <si>
    <t>18-Ult.</t>
  </si>
  <si>
    <t>21-Ult.</t>
  </si>
  <si>
    <t>24-Ult.</t>
  </si>
  <si>
    <t>27-Ult.</t>
  </si>
  <si>
    <t>30-Ult.</t>
  </si>
  <si>
    <t>Note:  For PYs greater than 33 months developed, used latest reported value for ultimate.</t>
  </si>
  <si>
    <t>3 Yr Avg</t>
  </si>
  <si>
    <t>Select. Avg</t>
  </si>
  <si>
    <t>Private Passenger</t>
  </si>
  <si>
    <t>Ceded Written Premium ($000)</t>
  </si>
  <si>
    <t>Ceded Average Written Premium ($000)</t>
  </si>
  <si>
    <t xml:space="preserve">   Policy </t>
  </si>
  <si>
    <t>Yr</t>
  </si>
  <si>
    <t>Qtr</t>
  </si>
  <si>
    <t>Proj Ult</t>
  </si>
  <si>
    <t>Quarterly Development Factors</t>
  </si>
  <si>
    <t>3-6</t>
  </si>
  <si>
    <t>6-9</t>
  </si>
  <si>
    <t>21-Ult</t>
  </si>
  <si>
    <t>Avg</t>
  </si>
  <si>
    <t>Slctd</t>
  </si>
  <si>
    <t>3-Ult</t>
  </si>
  <si>
    <t>6-Ult</t>
  </si>
  <si>
    <t>9-Ult</t>
  </si>
  <si>
    <t>12-Ult</t>
  </si>
  <si>
    <t>15-Ult</t>
  </si>
  <si>
    <t>18-Ult</t>
  </si>
  <si>
    <t xml:space="preserve">                           Private Passenger - All Coverages</t>
  </si>
  <si>
    <t xml:space="preserve">                            Policy Year Premium Projections</t>
  </si>
  <si>
    <t xml:space="preserve">                         Policy Year Premium Projections</t>
  </si>
  <si>
    <t xml:space="preserve">                         Commercial - All Coverages</t>
  </si>
  <si>
    <t xml:space="preserve">                                                               Private Passenger</t>
  </si>
  <si>
    <t xml:space="preserve">                                                             Ceded BI Written Exposures</t>
  </si>
  <si>
    <t xml:space="preserve">                      Private Passenger</t>
  </si>
  <si>
    <t xml:space="preserve">                     Ceded BI Written Exposures</t>
  </si>
  <si>
    <t xml:space="preserve">                    Quarterly Development Factors</t>
  </si>
  <si>
    <t xml:space="preserve">                                    Commercial</t>
  </si>
  <si>
    <t xml:space="preserve">                                      Ceded Written Premium ($000)</t>
  </si>
  <si>
    <t xml:space="preserve">                                  Quarterly Development Factors</t>
  </si>
  <si>
    <t>12 of 15</t>
  </si>
  <si>
    <t>13 of 15</t>
  </si>
  <si>
    <t>11 of 15</t>
  </si>
  <si>
    <t>10 of 15</t>
  </si>
  <si>
    <t>9 of 15</t>
  </si>
  <si>
    <t>7 OF 15</t>
  </si>
  <si>
    <t xml:space="preserve">DOCKET #:  </t>
  </si>
  <si>
    <t xml:space="preserve">EXHIBIT #:  </t>
  </si>
  <si>
    <t xml:space="preserve">PAGE:  </t>
  </si>
  <si>
    <t xml:space="preserve">    05</t>
  </si>
  <si>
    <t>00</t>
  </si>
  <si>
    <t>01</t>
  </si>
  <si>
    <t>02</t>
  </si>
  <si>
    <t>03</t>
  </si>
  <si>
    <t>04</t>
  </si>
  <si>
    <t>05</t>
  </si>
  <si>
    <t>06</t>
  </si>
  <si>
    <t xml:space="preserve">    06</t>
  </si>
  <si>
    <t>07</t>
  </si>
  <si>
    <t xml:space="preserve">    07</t>
  </si>
  <si>
    <t>08</t>
  </si>
  <si>
    <t xml:space="preserve">    08</t>
  </si>
  <si>
    <t>Enter 1 for Final, 0 otherwise</t>
  </si>
  <si>
    <t>09</t>
  </si>
  <si>
    <t xml:space="preserve">    09</t>
  </si>
  <si>
    <t>10</t>
  </si>
  <si>
    <t>Underwriting Result</t>
  </si>
  <si>
    <t>11</t>
  </si>
  <si>
    <t xml:space="preserve">                         Ceded Written Premium (000's omitted)</t>
  </si>
  <si>
    <t>EFF_YR_1_4</t>
  </si>
  <si>
    <t>EFF_QTR</t>
  </si>
  <si>
    <t>ACTG_YR_1_4</t>
  </si>
  <si>
    <t>ACTG_QTR</t>
  </si>
  <si>
    <t>SUM((TAB1.ITD_WRT_PREM)</t>
  </si>
  <si>
    <t>2007</t>
  </si>
  <si>
    <t>1</t>
  </si>
  <si>
    <t>2</t>
  </si>
  <si>
    <t>3</t>
  </si>
  <si>
    <t>4</t>
  </si>
  <si>
    <t>2008</t>
  </si>
  <si>
    <t>2009</t>
  </si>
  <si>
    <t>2010</t>
  </si>
  <si>
    <t>2011</t>
  </si>
  <si>
    <t>SUM((TAB1.ITD_WRT_EXP)</t>
  </si>
  <si>
    <t>12</t>
  </si>
  <si>
    <t xml:space="preserve">                                                    COMPARISON OF ULTIMATE POLICY YEAR DEFICIT PROJECTIONS</t>
  </si>
  <si>
    <t xml:space="preserve">                                                   PRIOR AND CURRENT QUARTER ESTIMATES</t>
  </si>
  <si>
    <t xml:space="preserve">                                            (000's OMITTED)</t>
  </si>
  <si>
    <t xml:space="preserve">                                                 COMMERCIAL ULTIMATE POLICY YEAR DEFICIT PROJECTIONS</t>
  </si>
  <si>
    <t>13</t>
  </si>
  <si>
    <t>14</t>
  </si>
  <si>
    <t>15</t>
  </si>
  <si>
    <t>16</t>
  </si>
  <si>
    <t>17</t>
  </si>
  <si>
    <t xml:space="preserve">                            Policy Year 2018</t>
  </si>
  <si>
    <t>18</t>
  </si>
  <si>
    <t>19</t>
  </si>
  <si>
    <t xml:space="preserve">    19</t>
  </si>
  <si>
    <t xml:space="preserve">                            Policy Year 2019</t>
  </si>
  <si>
    <t xml:space="preserve">    20</t>
  </si>
  <si>
    <t xml:space="preserve">                            Policy Year 2020</t>
  </si>
  <si>
    <t>20</t>
  </si>
  <si>
    <t>21</t>
  </si>
  <si>
    <t xml:space="preserve">    21</t>
  </si>
  <si>
    <t xml:space="preserve">                            Policy Year 2021</t>
  </si>
  <si>
    <t>22</t>
  </si>
  <si>
    <t xml:space="preserve">    22</t>
  </si>
  <si>
    <t xml:space="preserve">                            Policy Year 2022</t>
  </si>
  <si>
    <t>1 of 4</t>
  </si>
  <si>
    <t>2 of 4</t>
  </si>
  <si>
    <t>3 of 4</t>
  </si>
  <si>
    <t>4 of 4</t>
  </si>
  <si>
    <t>** have to look at exposures and do rate chaznge 11/1</t>
  </si>
  <si>
    <t xml:space="preserve">7 8 9 </t>
  </si>
  <si>
    <t>1-6</t>
  </si>
  <si>
    <t>overall</t>
  </si>
  <si>
    <t>7 OF 9</t>
  </si>
  <si>
    <t xml:space="preserve">                            Policy Year 2023</t>
  </si>
  <si>
    <t>23</t>
  </si>
  <si>
    <t xml:space="preserve">    23</t>
  </si>
  <si>
    <t xml:space="preserve">                            Policy Year 2024</t>
  </si>
  <si>
    <t xml:space="preserve">                            Policy Year 2017</t>
  </si>
  <si>
    <t xml:space="preserve">                            Policy Year 2016</t>
  </si>
  <si>
    <t xml:space="preserve">                            Policy Year 2015</t>
  </si>
  <si>
    <t>24</t>
  </si>
  <si>
    <t xml:space="preserve">    24</t>
  </si>
  <si>
    <t xml:space="preserve">                                                BASED ON DATA REPORTED THROUGH QUARTER ENDING DECEMBER 2024</t>
  </si>
  <si>
    <t>LR 25.07</t>
  </si>
  <si>
    <t>3 of 9</t>
  </si>
  <si>
    <t>4 of 9</t>
  </si>
  <si>
    <t>5 of 9</t>
  </si>
  <si>
    <t>6 of 9</t>
  </si>
  <si>
    <t>7 of 9</t>
  </si>
  <si>
    <t>8 of 9</t>
  </si>
  <si>
    <t>9 of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</si>
</sst>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E+00_)"/>
    <numFmt numFmtId="165" formatCode="0.0%"/>
    <numFmt numFmtId="166" formatCode="General_)"/>
    <numFmt numFmtId="167" formatCode="0.000_)"/>
    <numFmt numFmtId="168" formatCode="0.0000_)"/>
    <numFmt numFmtId="169" formatCode="dd\-mmm\-yyyy"/>
    <numFmt numFmtId="170" formatCode="_(* #,##0_);_(* \(#,##0\);_(* &quot;-&quot;??_);_(@_)"/>
    <numFmt numFmtId="171" formatCode="_(* #,##0.000_);_(* \(#,##0.000\);_(* &quot;-&quot;??_);_(@_)"/>
    <numFmt numFmtId="172" formatCode="_(* #,##0.0000_);_(* \(#,##0.0000\);_(* &quot;-&quot;??_);_(@_)"/>
    <numFmt numFmtId="173" formatCode="_(* #,##0.00000_);_(* \(#,##0.00000\);_(* &quot;-&quot;??_);_(@_)"/>
    <numFmt numFmtId="174" formatCode="_(* #,##0.000000_);_(* \(#,##0.000000\);_(* &quot;-&quot;??_);_(@_)"/>
    <numFmt numFmtId="175" formatCode="_(* #,##0.0000000_);_(* \(#,##0.0000000\);_(* &quot;-&quot;??_);_(@_)"/>
    <numFmt numFmtId="176" formatCode="#,##0.0000_);\(#,##0.0000\)"/>
    <numFmt numFmtId="177" formatCode="#,##0.00000_);\(#,##0.00000\)"/>
  </numFmts>
  <fonts count="11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sz val="8"/>
      <name val="Courier"/>
      <family val="3"/>
    </font>
    <font>
      <sz val="11"/>
      <color indexed="8"/>
      <name val="Calibri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164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2" fillId="0" borderId="0"/>
    <xf numFmtId="0" fontId="10" fillId="0" borderId="0"/>
    <xf numFmtId="166" fontId="2" fillId="0" borderId="0"/>
    <xf numFmtId="166" fontId="2" fillId="0" borderId="0"/>
    <xf numFmtId="0" fontId="10" fillId="0" borderId="0"/>
    <xf numFmtId="166" fontId="2" fillId="0" borderId="0"/>
    <xf numFmtId="9" fontId="1" fillId="0" borderId="0" applyFont="0" applyFill="0" applyBorder="0" applyAlignment="0" applyProtection="0"/>
  </cellStyleXfs>
  <cellXfs count="142">
    <xf numFmtId="164" fontId="0" fillId="0" borderId="0" xfId="0"/>
    <xf numFmtId="170" fontId="3" fillId="0" borderId="0" xfId="1" applyNumberFormat="1" applyFont="1"/>
    <xf numFmtId="166" fontId="3" fillId="0" borderId="0" xfId="5" applyFont="1"/>
    <xf numFmtId="166" fontId="3" fillId="0" borderId="0" xfId="5" applyFont="1" applyProtection="1">
      <protection locked="0"/>
    </xf>
    <xf numFmtId="37" fontId="3" fillId="0" borderId="0" xfId="0" applyNumberFormat="1" applyFont="1" applyProtection="1">
      <protection locked="0"/>
    </xf>
    <xf numFmtId="165" fontId="3" fillId="0" borderId="0" xfId="0" applyNumberFormat="1" applyFont="1" applyProtection="1">
      <protection locked="0"/>
    </xf>
    <xf numFmtId="164" fontId="3" fillId="0" borderId="0" xfId="0" applyFont="1"/>
    <xf numFmtId="164" fontId="3" fillId="0" borderId="0" xfId="0" applyFont="1" applyAlignment="1">
      <alignment horizontal="centerContinuous"/>
    </xf>
    <xf numFmtId="164" fontId="3" fillId="0" borderId="0" xfId="0" applyFont="1" applyAlignment="1" applyProtection="1">
      <alignment horizontal="centerContinuous"/>
      <protection locked="0"/>
    </xf>
    <xf numFmtId="164" fontId="3" fillId="0" borderId="0" xfId="0" applyFont="1" applyAlignment="1" applyProtection="1">
      <alignment horizontal="right"/>
      <protection locked="0"/>
    </xf>
    <xf numFmtId="164" fontId="4" fillId="0" borderId="0" xfId="0" applyFont="1" applyAlignment="1">
      <alignment horizontal="centerContinuous"/>
    </xf>
    <xf numFmtId="164" fontId="3" fillId="0" borderId="0" xfId="0" quotePrefix="1" applyFont="1"/>
    <xf numFmtId="164" fontId="3" fillId="0" borderId="0" xfId="0" applyFont="1" applyAlignment="1">
      <alignment horizontal="right"/>
    </xf>
    <xf numFmtId="164" fontId="5" fillId="0" borderId="0" xfId="0" applyFont="1" applyAlignment="1">
      <alignment horizontal="left"/>
    </xf>
    <xf numFmtId="164" fontId="1" fillId="0" borderId="0" xfId="0" applyFont="1" applyAlignment="1" applyProtection="1">
      <alignment horizontal="centerContinuous"/>
      <protection locked="0"/>
    </xf>
    <xf numFmtId="164" fontId="1" fillId="0" borderId="0" xfId="0" applyFont="1" applyAlignment="1">
      <alignment horizontal="centerContinuous"/>
    </xf>
    <xf numFmtId="164" fontId="3" fillId="0" borderId="0" xfId="0" applyFont="1" applyAlignment="1" applyProtection="1">
      <alignment horizontal="left"/>
      <protection locked="0"/>
    </xf>
    <xf numFmtId="166" fontId="3" fillId="0" borderId="0" xfId="3" applyFont="1" applyAlignment="1" applyProtection="1">
      <alignment horizontal="centerContinuous"/>
      <protection locked="0"/>
    </xf>
    <xf numFmtId="166" fontId="3" fillId="0" borderId="0" xfId="3" applyFont="1" applyAlignment="1">
      <alignment horizontal="centerContinuous"/>
    </xf>
    <xf numFmtId="166" fontId="3" fillId="0" borderId="0" xfId="3" applyFont="1" applyAlignment="1">
      <alignment horizontal="right"/>
    </xf>
    <xf numFmtId="166" fontId="3" fillId="0" borderId="0" xfId="3" applyFont="1"/>
    <xf numFmtId="166" fontId="3" fillId="0" borderId="0" xfId="3" applyFont="1" applyAlignment="1" applyProtection="1">
      <alignment horizontal="left"/>
      <protection locked="0"/>
    </xf>
    <xf numFmtId="166" fontId="6" fillId="0" borderId="0" xfId="3" applyFont="1" applyAlignment="1" applyProtection="1">
      <alignment horizontal="right"/>
      <protection locked="0"/>
    </xf>
    <xf numFmtId="166" fontId="6" fillId="0" borderId="0" xfId="3" applyFont="1" applyProtection="1">
      <protection locked="0"/>
    </xf>
    <xf numFmtId="166" fontId="3" fillId="0" borderId="0" xfId="3" applyFont="1" applyProtection="1">
      <protection locked="0"/>
    </xf>
    <xf numFmtId="37" fontId="3" fillId="0" borderId="0" xfId="3" applyNumberFormat="1" applyFont="1" applyProtection="1">
      <protection locked="0"/>
    </xf>
    <xf numFmtId="168" fontId="3" fillId="0" borderId="0" xfId="3" applyNumberFormat="1" applyFont="1" applyProtection="1">
      <protection locked="0"/>
    </xf>
    <xf numFmtId="166" fontId="3" fillId="0" borderId="0" xfId="3" applyFont="1" applyAlignment="1" applyProtection="1">
      <alignment horizontal="right"/>
      <protection locked="0"/>
    </xf>
    <xf numFmtId="166" fontId="3" fillId="0" borderId="0" xfId="5" applyFont="1" applyAlignment="1" applyProtection="1">
      <alignment horizontal="centerContinuous"/>
      <protection locked="0"/>
    </xf>
    <xf numFmtId="166" fontId="3" fillId="0" borderId="0" xfId="5" applyFont="1" applyAlignment="1">
      <alignment horizontal="centerContinuous"/>
    </xf>
    <xf numFmtId="166" fontId="3" fillId="0" borderId="0" xfId="5" applyFont="1" applyAlignment="1">
      <alignment horizontal="right"/>
    </xf>
    <xf numFmtId="166" fontId="3" fillId="0" borderId="0" xfId="5" applyFont="1" applyAlignment="1" applyProtection="1">
      <alignment horizontal="right"/>
      <protection locked="0"/>
    </xf>
    <xf numFmtId="166" fontId="3" fillId="0" borderId="0" xfId="5" applyFont="1" applyAlignment="1" applyProtection="1">
      <alignment horizontal="left"/>
      <protection locked="0"/>
    </xf>
    <xf numFmtId="166" fontId="6" fillId="0" borderId="0" xfId="5" applyFont="1" applyAlignment="1" applyProtection="1">
      <alignment horizontal="right"/>
      <protection locked="0"/>
    </xf>
    <xf numFmtId="166" fontId="6" fillId="0" borderId="0" xfId="5" applyFont="1"/>
    <xf numFmtId="166" fontId="6" fillId="0" borderId="0" xfId="5" applyFont="1" applyProtection="1">
      <protection locked="0"/>
    </xf>
    <xf numFmtId="168" fontId="3" fillId="0" borderId="0" xfId="5" applyNumberFormat="1" applyFont="1" applyProtection="1">
      <protection locked="0"/>
    </xf>
    <xf numFmtId="166" fontId="3" fillId="0" borderId="0" xfId="6" applyFont="1" applyAlignment="1" applyProtection="1">
      <alignment horizontal="centerContinuous"/>
      <protection locked="0"/>
    </xf>
    <xf numFmtId="166" fontId="3" fillId="0" borderId="0" xfId="6" applyFont="1" applyAlignment="1">
      <alignment horizontal="centerContinuous"/>
    </xf>
    <xf numFmtId="166" fontId="3" fillId="0" borderId="0" xfId="6" applyFont="1" applyAlignment="1">
      <alignment horizontal="right"/>
    </xf>
    <xf numFmtId="166" fontId="3" fillId="0" borderId="0" xfId="6" applyFont="1"/>
    <xf numFmtId="166" fontId="3" fillId="0" borderId="0" xfId="6" applyFont="1" applyAlignment="1" applyProtection="1">
      <alignment horizontal="right"/>
      <protection locked="0"/>
    </xf>
    <xf numFmtId="164" fontId="4" fillId="0" borderId="0" xfId="0" applyFont="1"/>
    <xf numFmtId="166" fontId="6" fillId="0" borderId="0" xfId="6" applyFont="1" applyAlignment="1" applyProtection="1">
      <alignment horizontal="right"/>
      <protection locked="0"/>
    </xf>
    <xf numFmtId="166" fontId="3" fillId="0" borderId="0" xfId="6" applyFont="1" applyAlignment="1" applyProtection="1">
      <alignment horizontal="fill"/>
      <protection locked="0"/>
    </xf>
    <xf numFmtId="166" fontId="3" fillId="0" borderId="0" xfId="6" applyFont="1" applyAlignment="1" applyProtection="1">
      <alignment horizontal="left"/>
      <protection locked="0"/>
    </xf>
    <xf numFmtId="166" fontId="3" fillId="0" borderId="0" xfId="6" applyFont="1" applyProtection="1">
      <protection locked="0"/>
    </xf>
    <xf numFmtId="168" fontId="3" fillId="0" borderId="0" xfId="6" applyNumberFormat="1" applyFont="1" applyProtection="1">
      <protection locked="0"/>
    </xf>
    <xf numFmtId="168" fontId="3" fillId="0" borderId="0" xfId="6" applyNumberFormat="1" applyFont="1"/>
    <xf numFmtId="169" fontId="3" fillId="0" borderId="0" xfId="6" applyNumberFormat="1" applyFont="1" applyProtection="1">
      <protection locked="0"/>
    </xf>
    <xf numFmtId="166" fontId="3" fillId="0" borderId="0" xfId="8" applyFont="1" applyAlignment="1" applyProtection="1">
      <alignment horizontal="centerContinuous"/>
      <protection locked="0"/>
    </xf>
    <xf numFmtId="166" fontId="3" fillId="0" borderId="0" xfId="8" applyFont="1" applyAlignment="1">
      <alignment horizontal="centerContinuous"/>
    </xf>
    <xf numFmtId="166" fontId="3" fillId="0" borderId="0" xfId="8" applyFont="1" applyAlignment="1" applyProtection="1">
      <alignment horizontal="right"/>
      <protection locked="0"/>
    </xf>
    <xf numFmtId="166" fontId="3" fillId="0" borderId="0" xfId="8" applyFont="1"/>
    <xf numFmtId="166" fontId="6" fillId="0" borderId="0" xfId="8" applyFont="1" applyAlignment="1" applyProtection="1">
      <alignment horizontal="right"/>
      <protection locked="0"/>
    </xf>
    <xf numFmtId="166" fontId="3" fillId="0" borderId="0" xfId="8" applyFont="1" applyAlignment="1" applyProtection="1">
      <alignment horizontal="center"/>
      <protection locked="0"/>
    </xf>
    <xf numFmtId="166" fontId="3" fillId="0" borderId="0" xfId="8" applyFont="1" applyAlignment="1" applyProtection="1">
      <alignment horizontal="fill"/>
      <protection locked="0"/>
    </xf>
    <xf numFmtId="166" fontId="3" fillId="0" borderId="0" xfId="8" applyFont="1" applyAlignment="1" applyProtection="1">
      <alignment horizontal="left"/>
      <protection locked="0"/>
    </xf>
    <xf numFmtId="166" fontId="3" fillId="0" borderId="0" xfId="8" applyFont="1" applyProtection="1">
      <protection locked="0"/>
    </xf>
    <xf numFmtId="37" fontId="3" fillId="0" borderId="0" xfId="8" applyNumberFormat="1" applyFont="1" applyProtection="1">
      <protection locked="0"/>
    </xf>
    <xf numFmtId="168" fontId="3" fillId="0" borderId="0" xfId="8" applyNumberFormat="1" applyFont="1" applyProtection="1">
      <protection locked="0"/>
    </xf>
    <xf numFmtId="168" fontId="3" fillId="0" borderId="0" xfId="8" applyNumberFormat="1" applyFont="1"/>
    <xf numFmtId="167" fontId="3" fillId="0" borderId="0" xfId="8" applyNumberFormat="1" applyFont="1" applyProtection="1">
      <protection locked="0"/>
    </xf>
    <xf numFmtId="168" fontId="7" fillId="0" borderId="0" xfId="8" applyNumberFormat="1" applyFont="1" applyProtection="1">
      <protection locked="0"/>
    </xf>
    <xf numFmtId="168" fontId="7" fillId="0" borderId="0" xfId="6" applyNumberFormat="1" applyFont="1" applyProtection="1">
      <protection locked="0"/>
    </xf>
    <xf numFmtId="37" fontId="7" fillId="0" borderId="0" xfId="5" applyNumberFormat="1" applyFont="1" applyProtection="1">
      <protection locked="0"/>
    </xf>
    <xf numFmtId="170" fontId="7" fillId="0" borderId="0" xfId="1" applyNumberFormat="1" applyFont="1"/>
    <xf numFmtId="168" fontId="7" fillId="0" borderId="0" xfId="5" applyNumberFormat="1" applyFont="1" applyProtection="1">
      <protection locked="0"/>
    </xf>
    <xf numFmtId="37" fontId="7" fillId="0" borderId="0" xfId="8" applyNumberFormat="1" applyFont="1" applyProtection="1">
      <protection locked="0"/>
    </xf>
    <xf numFmtId="168" fontId="7" fillId="0" borderId="0" xfId="3" applyNumberFormat="1" applyFont="1" applyProtection="1">
      <protection locked="0"/>
    </xf>
    <xf numFmtId="166" fontId="7" fillId="0" borderId="0" xfId="3" applyFont="1" applyAlignment="1" applyProtection="1">
      <alignment horizontal="right"/>
      <protection locked="0"/>
    </xf>
    <xf numFmtId="166" fontId="7" fillId="0" borderId="0" xfId="3" applyFont="1"/>
    <xf numFmtId="9" fontId="3" fillId="0" borderId="0" xfId="9" applyFont="1"/>
    <xf numFmtId="49" fontId="3" fillId="0" borderId="0" xfId="8" applyNumberFormat="1" applyFont="1" applyAlignment="1">
      <alignment horizontal="center"/>
    </xf>
    <xf numFmtId="0" fontId="3" fillId="0" borderId="0" xfId="0" quotePrefix="1" applyNumberFormat="1" applyFont="1" applyAlignment="1">
      <alignment horizontal="left"/>
    </xf>
    <xf numFmtId="44" fontId="3" fillId="0" borderId="0" xfId="2" applyFont="1"/>
    <xf numFmtId="0" fontId="3" fillId="0" borderId="0" xfId="5" applyNumberFormat="1" applyFont="1"/>
    <xf numFmtId="37" fontId="7" fillId="0" borderId="0" xfId="8" applyNumberFormat="1" applyFont="1" applyAlignment="1" applyProtection="1">
      <alignment horizontal="right"/>
      <protection locked="0"/>
    </xf>
    <xf numFmtId="1" fontId="3" fillId="0" borderId="0" xfId="0" quotePrefix="1" applyNumberFormat="1" applyFont="1" applyAlignment="1">
      <alignment horizontal="left"/>
    </xf>
    <xf numFmtId="0" fontId="3" fillId="0" borderId="0" xfId="0" applyNumberFormat="1" applyFont="1" applyAlignment="1">
      <alignment horizontal="left"/>
    </xf>
    <xf numFmtId="168" fontId="7" fillId="0" borderId="0" xfId="8" applyNumberFormat="1" applyFont="1" applyAlignment="1" applyProtection="1">
      <alignment horizontal="right"/>
      <protection locked="0"/>
    </xf>
    <xf numFmtId="170" fontId="3" fillId="0" borderId="0" xfId="1" applyNumberFormat="1" applyFont="1" applyFill="1"/>
    <xf numFmtId="3" fontId="3" fillId="0" borderId="0" xfId="8" applyNumberFormat="1" applyFont="1" applyAlignment="1">
      <alignment horizontal="right"/>
    </xf>
    <xf numFmtId="37" fontId="3" fillId="0" borderId="0" xfId="0" applyNumberFormat="1" applyFont="1" applyAlignment="1" applyProtection="1">
      <alignment horizontal="right"/>
      <protection locked="0"/>
    </xf>
    <xf numFmtId="166" fontId="3" fillId="0" borderId="0" xfId="8" quotePrefix="1" applyFont="1" applyAlignment="1" applyProtection="1">
      <alignment horizontal="center"/>
      <protection locked="0"/>
    </xf>
    <xf numFmtId="171" fontId="3" fillId="0" borderId="0" xfId="1" applyNumberFormat="1" applyFont="1"/>
    <xf numFmtId="175" fontId="3" fillId="0" borderId="0" xfId="1" applyNumberFormat="1" applyFont="1"/>
    <xf numFmtId="177" fontId="7" fillId="0" borderId="0" xfId="5" applyNumberFormat="1" applyFont="1" applyProtection="1">
      <protection locked="0"/>
    </xf>
    <xf numFmtId="176" fontId="7" fillId="0" borderId="0" xfId="5" applyNumberFormat="1" applyFont="1" applyProtection="1">
      <protection locked="0"/>
    </xf>
    <xf numFmtId="174" fontId="3" fillId="0" borderId="0" xfId="1" applyNumberFormat="1" applyFont="1"/>
    <xf numFmtId="43" fontId="0" fillId="0" borderId="0" xfId="1" applyFont="1"/>
    <xf numFmtId="165" fontId="3" fillId="0" borderId="0" xfId="0" applyNumberFormat="1" applyFont="1" applyAlignment="1" applyProtection="1">
      <alignment horizontal="right"/>
      <protection locked="0"/>
    </xf>
    <xf numFmtId="49" fontId="0" fillId="0" borderId="0" xfId="0" applyNumberFormat="1"/>
    <xf numFmtId="170" fontId="0" fillId="0" borderId="0" xfId="1" applyNumberFormat="1" applyFont="1"/>
    <xf numFmtId="1" fontId="0" fillId="0" borderId="0" xfId="0" applyNumberFormat="1"/>
    <xf numFmtId="43" fontId="3" fillId="0" borderId="0" xfId="1" applyFont="1" applyFill="1"/>
    <xf numFmtId="43" fontId="3" fillId="0" borderId="0" xfId="1" applyFont="1"/>
    <xf numFmtId="170" fontId="3" fillId="0" borderId="0" xfId="1" applyNumberFormat="1" applyFont="1" applyProtection="1">
      <protection locked="0"/>
    </xf>
    <xf numFmtId="10" fontId="3" fillId="0" borderId="0" xfId="9" applyNumberFormat="1" applyFont="1"/>
    <xf numFmtId="49" fontId="1" fillId="0" borderId="0" xfId="8" applyNumberFormat="1" applyFont="1" applyAlignment="1">
      <alignment horizontal="center"/>
    </xf>
    <xf numFmtId="37" fontId="1" fillId="0" borderId="0" xfId="3" applyNumberFormat="1" applyFont="1" applyProtection="1">
      <protection locked="0"/>
    </xf>
    <xf numFmtId="170" fontId="1" fillId="0" borderId="0" xfId="1" applyNumberFormat="1" applyFont="1"/>
    <xf numFmtId="164" fontId="1" fillId="0" borderId="0" xfId="0" quotePrefix="1" applyFont="1"/>
    <xf numFmtId="164" fontId="1" fillId="0" borderId="0" xfId="0" applyFont="1"/>
    <xf numFmtId="170" fontId="1" fillId="0" borderId="0" xfId="1" applyNumberFormat="1" applyFont="1" applyFill="1"/>
    <xf numFmtId="173" fontId="3" fillId="0" borderId="0" xfId="1" applyNumberFormat="1" applyFont="1"/>
    <xf numFmtId="9" fontId="1" fillId="0" borderId="0" xfId="9" applyFont="1"/>
    <xf numFmtId="172" fontId="1" fillId="0" borderId="0" xfId="1" applyNumberFormat="1" applyFont="1"/>
    <xf numFmtId="165" fontId="1" fillId="0" borderId="0" xfId="0" applyNumberFormat="1" applyFont="1" applyProtection="1">
      <protection locked="0"/>
    </xf>
    <xf numFmtId="37" fontId="1" fillId="0" borderId="0" xfId="0" applyNumberFormat="1" applyFont="1" applyAlignment="1" applyProtection="1">
      <alignment horizontal="right"/>
      <protection locked="0"/>
    </xf>
    <xf numFmtId="166" fontId="1" fillId="0" borderId="0" xfId="8" quotePrefix="1" applyFont="1" applyAlignment="1" applyProtection="1">
      <alignment horizontal="left"/>
      <protection locked="0"/>
    </xf>
    <xf numFmtId="165" fontId="0" fillId="0" borderId="0" xfId="9" applyNumberFormat="1" applyFont="1"/>
    <xf numFmtId="9" fontId="0" fillId="0" borderId="0" xfId="9" applyFont="1"/>
    <xf numFmtId="170" fontId="1" fillId="0" borderId="0" xfId="1" quotePrefix="1" applyNumberFormat="1" applyFont="1"/>
    <xf numFmtId="165" fontId="3" fillId="0" borderId="0" xfId="9" applyNumberFormat="1" applyFont="1"/>
    <xf numFmtId="170" fontId="7" fillId="0" borderId="0" xfId="1" applyNumberFormat="1" applyFont="1" applyProtection="1">
      <protection locked="0"/>
    </xf>
    <xf numFmtId="166" fontId="1" fillId="0" borderId="0" xfId="8" quotePrefix="1" applyFont="1" applyAlignment="1" applyProtection="1">
      <alignment horizontal="center"/>
      <protection locked="0"/>
    </xf>
    <xf numFmtId="166" fontId="1" fillId="0" borderId="0" xfId="3" applyFont="1" applyProtection="1">
      <protection locked="0"/>
    </xf>
    <xf numFmtId="2" fontId="3" fillId="0" borderId="0" xfId="0" applyNumberFormat="1" applyFont="1"/>
    <xf numFmtId="2" fontId="3" fillId="0" borderId="0" xfId="9" applyNumberFormat="1" applyFont="1"/>
    <xf numFmtId="0" fontId="9" fillId="2" borderId="0" xfId="7" applyFont="1" applyFill="1" applyAlignment="1">
      <alignment horizontal="center"/>
    </xf>
    <xf numFmtId="0" fontId="9" fillId="0" borderId="0" xfId="7" applyFont="1" applyAlignment="1">
      <alignment horizontal="right" wrapText="1"/>
    </xf>
    <xf numFmtId="3" fontId="9" fillId="0" borderId="0" xfId="7" applyNumberFormat="1" applyFont="1" applyAlignment="1">
      <alignment wrapText="1"/>
    </xf>
    <xf numFmtId="3" fontId="9" fillId="0" borderId="0" xfId="4" applyNumberFormat="1" applyFont="1" applyAlignment="1">
      <alignment horizontal="right" wrapText="1"/>
    </xf>
    <xf numFmtId="3" fontId="9" fillId="2" borderId="0" xfId="7" applyNumberFormat="1" applyFont="1" applyFill="1" applyAlignment="1">
      <alignment horizontal="center"/>
    </xf>
    <xf numFmtId="166" fontId="3" fillId="0" borderId="0" xfId="6" applyFont="1" applyAlignment="1">
      <alignment horizontal="center"/>
    </xf>
    <xf numFmtId="166" fontId="1" fillId="0" borderId="0" xfId="6" applyFont="1" applyAlignment="1">
      <alignment horizontal="center"/>
    </xf>
    <xf numFmtId="0" fontId="9" fillId="0" borderId="0" xfId="7" applyFont="1" applyAlignment="1">
      <alignment horizontal="center" wrapText="1"/>
    </xf>
    <xf numFmtId="3" fontId="9" fillId="0" borderId="0" xfId="7" applyNumberFormat="1" applyFont="1" applyAlignment="1">
      <alignment horizontal="center" wrapText="1"/>
    </xf>
    <xf numFmtId="172" fontId="1" fillId="0" borderId="0" xfId="1" applyNumberFormat="1" applyFont="1" applyFill="1"/>
    <xf numFmtId="164" fontId="1" fillId="0" borderId="0" xfId="0" applyFont="1" applyAlignment="1" applyProtection="1">
      <alignment horizontal="right"/>
      <protection locked="0"/>
    </xf>
    <xf numFmtId="164" fontId="1" fillId="0" borderId="0" xfId="0" applyFont="1" applyAlignment="1">
      <alignment horizontal="right"/>
    </xf>
    <xf numFmtId="164" fontId="1" fillId="0" borderId="0" xfId="0" applyFont="1" applyAlignment="1" applyProtection="1">
      <alignment horizontal="left"/>
      <protection locked="0"/>
    </xf>
    <xf numFmtId="37" fontId="1" fillId="0" borderId="0" xfId="0" applyNumberFormat="1" applyFont="1" applyProtection="1">
      <protection locked="0"/>
    </xf>
    <xf numFmtId="165" fontId="1" fillId="0" borderId="0" xfId="0" applyNumberFormat="1" applyFont="1" applyAlignment="1" applyProtection="1">
      <alignment horizontal="right"/>
      <protection locked="0"/>
    </xf>
    <xf numFmtId="168" fontId="1" fillId="0" borderId="0" xfId="5" applyNumberFormat="1" applyFont="1" applyProtection="1">
      <protection locked="0"/>
    </xf>
    <xf numFmtId="170" fontId="1" fillId="0" borderId="1" xfId="1" applyNumberFormat="1" applyFont="1" applyBorder="1"/>
    <xf numFmtId="10" fontId="3" fillId="0" borderId="0" xfId="0" applyNumberFormat="1" applyFont="1" applyProtection="1">
      <protection locked="0"/>
    </xf>
    <xf numFmtId="3" fontId="0" fillId="0" borderId="0" xfId="0" applyNumberFormat="1"/>
    <xf numFmtId="164" fontId="1" fillId="0" borderId="0" xfId="0" applyFont="1" applyAlignment="1" applyProtection="1">
      <alignment horizontal="center"/>
      <protection locked="0"/>
    </xf>
    <xf numFmtId="164" fontId="3" fillId="0" borderId="0" xfId="0" applyFont="1" applyAlignment="1" applyProtection="1">
      <alignment horizontal="center"/>
      <protection locked="0"/>
    </xf>
    <xf numFmtId="166" fontId="3" fillId="0" borderId="0" xfId="6" applyFont="1" applyAlignment="1" applyProtection="1">
      <alignment horizontal="center"/>
      <protection locked="0"/>
    </xf>
  </cellXfs>
  <cellStyles count="10">
    <cellStyle name="Comma" xfId="1" builtinId="3"/>
    <cellStyle name="Currency" xfId="2" builtinId="4"/>
    <cellStyle name="Normal" xfId="0" builtinId="0"/>
    <cellStyle name="Normal_ULTPQAO" xfId="3" xr:uid="{00000000-0005-0000-0000-000003000000}"/>
    <cellStyle name="Normal_ULTPQAO_1" xfId="4" xr:uid="{00000000-0005-0000-0000-000004000000}"/>
    <cellStyle name="Normal_ULTPQPP" xfId="5" xr:uid="{00000000-0005-0000-0000-000005000000}"/>
    <cellStyle name="Normal_ULTPYAO" xfId="6" xr:uid="{00000000-0005-0000-0000-000006000000}"/>
    <cellStyle name="Normal_ULTPYAO_1" xfId="7" xr:uid="{00000000-0005-0000-0000-000007000000}"/>
    <cellStyle name="Normal_ULTPYPP" xfId="8" xr:uid="{00000000-0005-0000-0000-000008000000}"/>
    <cellStyle name="Percent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R56"/>
  <sheetViews>
    <sheetView showGridLines="0" view="pageBreakPreview" topLeftCell="A31" zoomScaleNormal="100" workbookViewId="0">
      <selection activeCell="B45" sqref="B45:F45"/>
    </sheetView>
  </sheetViews>
  <sheetFormatPr defaultColWidth="8.625" defaultRowHeight="12.75" x14ac:dyDescent="0.2"/>
  <cols>
    <col min="1" max="1" width="9.875" style="40" customWidth="1"/>
    <col min="2" max="11" width="11.625" style="40" customWidth="1"/>
    <col min="12" max="14" width="8.625" style="40"/>
    <col min="15" max="15" width="12.625" style="1" bestFit="1" customWidth="1"/>
    <col min="16" max="16384" width="8.625" style="40"/>
  </cols>
  <sheetData>
    <row r="1" spans="1:18" x14ac:dyDescent="0.2">
      <c r="A1" s="37" t="s">
        <v>68</v>
      </c>
      <c r="B1" s="38"/>
      <c r="C1" s="38"/>
      <c r="D1" s="38"/>
      <c r="E1" s="10"/>
      <c r="F1" s="38"/>
      <c r="G1" s="38"/>
      <c r="H1" s="38"/>
      <c r="I1" s="38"/>
      <c r="J1" s="39" t="str">
        <f>ULTPYPP!J1</f>
        <v xml:space="preserve">DOCKET #:  </v>
      </c>
      <c r="K1" s="11" t="str">
        <f>ULTIMATE!H1</f>
        <v>LR 25.07</v>
      </c>
    </row>
    <row r="2" spans="1:18" x14ac:dyDescent="0.2">
      <c r="A2" s="37" t="s">
        <v>69</v>
      </c>
      <c r="B2" s="38"/>
      <c r="C2" s="38"/>
      <c r="D2" s="38"/>
      <c r="E2" s="10"/>
      <c r="F2" s="38"/>
      <c r="G2" s="38"/>
      <c r="H2" s="38"/>
      <c r="I2" s="38"/>
      <c r="J2" s="39" t="str">
        <f>ULTPYPP!J2</f>
        <v xml:space="preserve">EXHIBIT #:  </v>
      </c>
      <c r="K2" s="79">
        <f>ULTIMATE!H2</f>
        <v>3</v>
      </c>
    </row>
    <row r="3" spans="1:18" x14ac:dyDescent="0.2">
      <c r="A3" s="37"/>
      <c r="B3" s="38"/>
      <c r="C3" s="38"/>
      <c r="D3" s="38"/>
      <c r="E3" s="10"/>
      <c r="F3" s="38"/>
      <c r="G3" s="38"/>
      <c r="H3" s="38"/>
      <c r="I3" s="38"/>
      <c r="J3" s="39" t="str">
        <f>ULTPYPP!J3</f>
        <v xml:space="preserve">PAGE:  </v>
      </c>
      <c r="K3" s="103" t="s">
        <v>154</v>
      </c>
    </row>
    <row r="4" spans="1:18" x14ac:dyDescent="0.2">
      <c r="A4" s="37" t="s">
        <v>106</v>
      </c>
      <c r="B4" s="38"/>
      <c r="C4" s="38"/>
      <c r="D4" s="38"/>
      <c r="E4" s="10"/>
      <c r="F4" s="38"/>
      <c r="G4" s="38"/>
      <c r="H4" s="38"/>
      <c r="I4" s="38"/>
    </row>
    <row r="5" spans="1:18" x14ac:dyDescent="0.2">
      <c r="A5" s="41" t="s">
        <v>11</v>
      </c>
      <c r="E5" s="42"/>
    </row>
    <row r="6" spans="1:18" x14ac:dyDescent="0.2">
      <c r="A6" s="43" t="s">
        <v>12</v>
      </c>
      <c r="B6" s="43" t="s">
        <v>13</v>
      </c>
      <c r="C6" s="43" t="s">
        <v>14</v>
      </c>
      <c r="D6" s="43" t="s">
        <v>15</v>
      </c>
      <c r="E6" s="43" t="s">
        <v>16</v>
      </c>
      <c r="F6" s="43" t="s">
        <v>17</v>
      </c>
      <c r="G6" s="43" t="s">
        <v>18</v>
      </c>
      <c r="H6" s="43" t="s">
        <v>19</v>
      </c>
      <c r="I6" s="43" t="s">
        <v>20</v>
      </c>
      <c r="J6" s="43" t="s">
        <v>21</v>
      </c>
      <c r="K6" s="43" t="s">
        <v>22</v>
      </c>
    </row>
    <row r="7" spans="1:18" x14ac:dyDescent="0.2">
      <c r="A7" s="41"/>
      <c r="B7" s="44"/>
    </row>
    <row r="8" spans="1:18" x14ac:dyDescent="0.2">
      <c r="A8" s="84" t="s">
        <v>98</v>
      </c>
      <c r="B8" s="81">
        <v>103244</v>
      </c>
      <c r="C8" s="81">
        <v>128667</v>
      </c>
      <c r="D8" s="81">
        <v>126679</v>
      </c>
      <c r="E8" s="81">
        <v>125245</v>
      </c>
      <c r="F8" s="81">
        <v>124728</v>
      </c>
      <c r="G8" s="81">
        <v>124546</v>
      </c>
      <c r="H8" s="1">
        <v>124279</v>
      </c>
      <c r="I8" s="1">
        <v>124257</v>
      </c>
      <c r="J8" s="1">
        <v>124250</v>
      </c>
      <c r="K8" s="68">
        <v>160215</v>
      </c>
      <c r="M8" s="40">
        <v>20</v>
      </c>
      <c r="N8" s="40">
        <v>1</v>
      </c>
      <c r="O8" s="1">
        <v>-4632</v>
      </c>
    </row>
    <row r="9" spans="1:18" x14ac:dyDescent="0.2">
      <c r="A9" s="84" t="s">
        <v>101</v>
      </c>
      <c r="B9" s="81">
        <v>83041</v>
      </c>
      <c r="C9" s="81">
        <v>105740</v>
      </c>
      <c r="D9" s="81">
        <v>104694</v>
      </c>
      <c r="E9" s="81">
        <v>103419</v>
      </c>
      <c r="F9" s="81">
        <v>103216</v>
      </c>
      <c r="G9" s="81">
        <v>103169</v>
      </c>
      <c r="H9" s="1">
        <v>103062</v>
      </c>
      <c r="I9" s="1">
        <v>103018</v>
      </c>
      <c r="J9" s="1">
        <v>103058</v>
      </c>
      <c r="K9" s="68">
        <v>124242</v>
      </c>
      <c r="L9"/>
      <c r="M9">
        <v>20</v>
      </c>
      <c r="N9">
        <v>5</v>
      </c>
      <c r="O9" s="1">
        <v>-6331</v>
      </c>
    </row>
    <row r="10" spans="1:18" x14ac:dyDescent="0.2">
      <c r="A10" s="84" t="s">
        <v>103</v>
      </c>
      <c r="B10" s="81">
        <v>73158</v>
      </c>
      <c r="C10" s="81">
        <v>92122</v>
      </c>
      <c r="D10" s="81">
        <v>93165</v>
      </c>
      <c r="E10" s="81">
        <v>92323</v>
      </c>
      <c r="F10" s="81">
        <v>91813</v>
      </c>
      <c r="G10" s="81">
        <v>91886</v>
      </c>
      <c r="H10" s="1">
        <v>91823</v>
      </c>
      <c r="I10" s="1">
        <v>91809</v>
      </c>
      <c r="J10" s="81">
        <v>91811</v>
      </c>
      <c r="K10" s="68">
        <v>103006</v>
      </c>
      <c r="L10" s="93"/>
      <c r="M10" s="93">
        <v>20</v>
      </c>
      <c r="N10" s="93">
        <v>6</v>
      </c>
      <c r="O10" s="1">
        <v>-215</v>
      </c>
    </row>
    <row r="11" spans="1:18" x14ac:dyDescent="0.2">
      <c r="A11" s="84" t="s">
        <v>105</v>
      </c>
      <c r="B11" s="81">
        <v>67793</v>
      </c>
      <c r="C11" s="81">
        <v>89920</v>
      </c>
      <c r="D11" s="81">
        <v>89755</v>
      </c>
      <c r="E11" s="81">
        <v>89191</v>
      </c>
      <c r="F11" s="81">
        <v>89051</v>
      </c>
      <c r="G11" s="81">
        <v>88948</v>
      </c>
      <c r="H11" s="1">
        <v>88946</v>
      </c>
      <c r="I11" s="1">
        <v>89044</v>
      </c>
      <c r="J11" s="1">
        <v>89044</v>
      </c>
      <c r="K11" s="68">
        <v>91820</v>
      </c>
      <c r="L11" s="93"/>
      <c r="M11" s="93">
        <v>20</v>
      </c>
      <c r="N11" s="93">
        <v>7</v>
      </c>
      <c r="O11" s="1">
        <v>-5000</v>
      </c>
    </row>
    <row r="12" spans="1:18" x14ac:dyDescent="0.2">
      <c r="A12" s="84" t="s">
        <v>122</v>
      </c>
      <c r="B12" s="81">
        <v>71936</v>
      </c>
      <c r="C12" s="81">
        <v>97605</v>
      </c>
      <c r="D12" s="81">
        <v>95897</v>
      </c>
      <c r="E12" s="81">
        <v>95278</v>
      </c>
      <c r="F12" s="81">
        <v>95065</v>
      </c>
      <c r="G12" s="81">
        <v>94920</v>
      </c>
      <c r="H12" s="1">
        <v>94985</v>
      </c>
      <c r="I12" s="1">
        <v>94955</v>
      </c>
      <c r="J12" s="1">
        <v>94963</v>
      </c>
      <c r="K12" s="68">
        <v>88954</v>
      </c>
      <c r="L12" s="93"/>
      <c r="M12" s="93">
        <v>20</v>
      </c>
      <c r="N12" s="93">
        <v>8</v>
      </c>
      <c r="O12" s="1">
        <v>-1841</v>
      </c>
    </row>
    <row r="13" spans="1:18" x14ac:dyDescent="0.2">
      <c r="A13" s="84" t="s">
        <v>127</v>
      </c>
      <c r="B13" s="81">
        <v>82019</v>
      </c>
      <c r="C13" s="81">
        <v>112439</v>
      </c>
      <c r="D13" s="81">
        <v>111316</v>
      </c>
      <c r="E13" s="81">
        <v>110970</v>
      </c>
      <c r="F13" s="81">
        <v>111128</v>
      </c>
      <c r="G13" s="81">
        <v>110935</v>
      </c>
      <c r="H13" s="81">
        <v>110570</v>
      </c>
      <c r="I13" s="81">
        <v>110579</v>
      </c>
      <c r="J13" s="1">
        <v>110598</v>
      </c>
      <c r="K13" s="68">
        <v>95070</v>
      </c>
      <c r="L13" s="93"/>
      <c r="M13" s="93">
        <v>20</v>
      </c>
      <c r="N13" s="93">
        <v>9</v>
      </c>
      <c r="O13" s="1">
        <v>-707</v>
      </c>
    </row>
    <row r="14" spans="1:18" x14ac:dyDescent="0.2">
      <c r="A14" s="84" t="s">
        <v>128</v>
      </c>
      <c r="B14" s="104">
        <v>93935</v>
      </c>
      <c r="C14" s="104">
        <v>130392</v>
      </c>
      <c r="D14" s="104">
        <v>128798</v>
      </c>
      <c r="E14" s="104">
        <v>128157</v>
      </c>
      <c r="F14" s="104">
        <v>128205</v>
      </c>
      <c r="G14" s="104">
        <v>128139</v>
      </c>
      <c r="H14" s="101">
        <v>127948</v>
      </c>
      <c r="I14" s="101">
        <v>127937</v>
      </c>
      <c r="J14" s="101">
        <v>127938</v>
      </c>
      <c r="K14" s="68">
        <v>127938</v>
      </c>
      <c r="L14" s="93"/>
      <c r="M14" s="93">
        <v>20</v>
      </c>
      <c r="N14" s="93">
        <v>10</v>
      </c>
      <c r="O14" s="1">
        <v>-10748</v>
      </c>
    </row>
    <row r="15" spans="1:18" x14ac:dyDescent="0.2">
      <c r="A15" s="84" t="s">
        <v>129</v>
      </c>
      <c r="B15" s="104">
        <v>112831</v>
      </c>
      <c r="C15" s="104">
        <v>153835</v>
      </c>
      <c r="D15" s="104">
        <v>153231</v>
      </c>
      <c r="E15" s="104">
        <v>152074</v>
      </c>
      <c r="F15" s="104">
        <v>151635.80100000001</v>
      </c>
      <c r="G15" s="104">
        <v>151601</v>
      </c>
      <c r="H15" s="101">
        <v>151505.09</v>
      </c>
      <c r="I15" s="101">
        <v>151475.133</v>
      </c>
      <c r="J15" s="101">
        <v>151471.81299999999</v>
      </c>
      <c r="K15" s="68">
        <v>151439</v>
      </c>
      <c r="L15" s="93"/>
      <c r="M15" s="93">
        <v>20</v>
      </c>
      <c r="N15" s="93">
        <v>11</v>
      </c>
      <c r="O15" s="1">
        <v>-6708</v>
      </c>
      <c r="Q15" s="40">
        <v>2018</v>
      </c>
      <c r="R15" s="40">
        <v>195958</v>
      </c>
    </row>
    <row r="16" spans="1:18" x14ac:dyDescent="0.2">
      <c r="A16" s="84" t="s">
        <v>130</v>
      </c>
      <c r="B16" s="104">
        <v>127229.36500000001</v>
      </c>
      <c r="C16" s="104">
        <v>173733</v>
      </c>
      <c r="D16" s="104">
        <v>171290</v>
      </c>
      <c r="E16" s="104">
        <v>170104.549</v>
      </c>
      <c r="F16" s="104">
        <v>169753.90400000001</v>
      </c>
      <c r="G16" s="104">
        <v>169237.99800000002</v>
      </c>
      <c r="H16" s="101">
        <v>169156.99800000002</v>
      </c>
      <c r="I16" s="101">
        <v>169147</v>
      </c>
      <c r="J16" s="104">
        <v>169140</v>
      </c>
      <c r="K16" s="68">
        <v>169141</v>
      </c>
      <c r="L16" s="93"/>
      <c r="M16" s="93">
        <v>20</v>
      </c>
      <c r="N16" s="93">
        <v>12</v>
      </c>
      <c r="O16" s="1">
        <v>-1207</v>
      </c>
      <c r="Q16" s="40">
        <v>2019</v>
      </c>
      <c r="R16" s="40">
        <v>190284</v>
      </c>
    </row>
    <row r="17" spans="1:18" x14ac:dyDescent="0.2">
      <c r="A17" s="84" t="s">
        <v>131</v>
      </c>
      <c r="B17" s="104">
        <v>135211</v>
      </c>
      <c r="C17" s="104">
        <v>185192.84099999999</v>
      </c>
      <c r="D17" s="104">
        <v>184274.84099999999</v>
      </c>
      <c r="E17" s="104">
        <v>183227</v>
      </c>
      <c r="F17" s="104">
        <v>182783</v>
      </c>
      <c r="G17" s="104">
        <v>182684</v>
      </c>
      <c r="H17" s="104">
        <v>182641.12400000001</v>
      </c>
      <c r="I17" s="101">
        <v>182619.79700000002</v>
      </c>
      <c r="J17" s="101">
        <v>182602</v>
      </c>
      <c r="K17" s="68">
        <v>182591</v>
      </c>
      <c r="L17" s="93"/>
      <c r="M17" s="93">
        <v>20</v>
      </c>
      <c r="N17" s="93"/>
      <c r="O17" s="1">
        <f>SUM(O8:O16)</f>
        <v>-37389</v>
      </c>
      <c r="Q17" s="40">
        <v>2020</v>
      </c>
      <c r="R17" s="40">
        <v>172655</v>
      </c>
    </row>
    <row r="18" spans="1:18" x14ac:dyDescent="0.2">
      <c r="A18" s="84" t="s">
        <v>133</v>
      </c>
      <c r="B18" s="104">
        <v>146154</v>
      </c>
      <c r="C18" s="104">
        <v>201885</v>
      </c>
      <c r="D18" s="104">
        <v>198720.18299999999</v>
      </c>
      <c r="E18" s="104">
        <v>197241.95599999998</v>
      </c>
      <c r="F18" s="104">
        <v>196213</v>
      </c>
      <c r="G18" s="104">
        <v>196072</v>
      </c>
      <c r="H18" s="101">
        <v>195995</v>
      </c>
      <c r="I18" s="101">
        <v>196012.32</v>
      </c>
      <c r="J18" s="1">
        <v>195965.989</v>
      </c>
      <c r="K18" s="68">
        <v>195957.989</v>
      </c>
      <c r="L18" s="93"/>
      <c r="M18" s="93">
        <v>21</v>
      </c>
      <c r="N18" s="93">
        <v>1</v>
      </c>
      <c r="O18" s="1">
        <v>11817</v>
      </c>
      <c r="Q18" s="40">
        <v>2021</v>
      </c>
      <c r="R18" s="40">
        <v>183790</v>
      </c>
    </row>
    <row r="19" spans="1:18" x14ac:dyDescent="0.2">
      <c r="A19" s="84" t="s">
        <v>134</v>
      </c>
      <c r="B19" s="104">
        <v>151608</v>
      </c>
      <c r="C19" s="104">
        <v>205166.416</v>
      </c>
      <c r="D19" s="104">
        <v>197995</v>
      </c>
      <c r="E19" s="104">
        <v>190613</v>
      </c>
      <c r="F19" s="104">
        <v>190074.47099999999</v>
      </c>
      <c r="G19" s="104">
        <v>190418.47099999999</v>
      </c>
      <c r="H19" s="101">
        <v>190321.47099999999</v>
      </c>
      <c r="I19" s="101">
        <v>190299.47099999999</v>
      </c>
      <c r="J19" s="1">
        <v>190296.97099999999</v>
      </c>
      <c r="K19" s="68">
        <v>190284</v>
      </c>
      <c r="L19" s="93"/>
      <c r="M19" s="93">
        <v>21</v>
      </c>
      <c r="N19" s="93">
        <v>2</v>
      </c>
      <c r="O19" s="1">
        <v>1014</v>
      </c>
      <c r="Q19" s="40">
        <v>2022</v>
      </c>
      <c r="R19" s="40">
        <v>142351</v>
      </c>
    </row>
    <row r="20" spans="1:18" x14ac:dyDescent="0.2">
      <c r="A20" s="84" t="s">
        <v>139</v>
      </c>
      <c r="B20" s="81">
        <v>126311</v>
      </c>
      <c r="C20" s="81">
        <v>177269</v>
      </c>
      <c r="D20" s="81">
        <v>173110</v>
      </c>
      <c r="E20" s="81">
        <v>173273</v>
      </c>
      <c r="F20" s="81">
        <v>172886</v>
      </c>
      <c r="G20" s="81">
        <v>172758.73800000001</v>
      </c>
      <c r="H20" s="1">
        <v>172630</v>
      </c>
      <c r="I20" s="1">
        <v>172692</v>
      </c>
      <c r="J20" s="1">
        <f>R17</f>
        <v>172655</v>
      </c>
      <c r="K20" s="68">
        <f>J20*J51</f>
        <v>172643.48966666666</v>
      </c>
      <c r="L20" s="93"/>
      <c r="M20" s="93">
        <v>21</v>
      </c>
      <c r="N20" s="93">
        <v>3</v>
      </c>
      <c r="O20" s="1">
        <v>-10987</v>
      </c>
    </row>
    <row r="21" spans="1:18" x14ac:dyDescent="0.2">
      <c r="A21" s="84" t="s">
        <v>140</v>
      </c>
      <c r="B21" s="81">
        <v>139405</v>
      </c>
      <c r="C21" s="81">
        <v>186609.31299999999</v>
      </c>
      <c r="D21" s="81">
        <v>184995</v>
      </c>
      <c r="E21" s="81">
        <v>183914</v>
      </c>
      <c r="F21" s="81">
        <f>R18</f>
        <v>183790</v>
      </c>
      <c r="G21" s="81"/>
      <c r="H21" s="1"/>
      <c r="I21" s="1"/>
      <c r="J21" s="1"/>
      <c r="K21" s="68">
        <f>F21*F51</f>
        <v>183698.10500000001</v>
      </c>
      <c r="L21" s="93"/>
      <c r="M21" s="93">
        <v>21</v>
      </c>
      <c r="N21" s="93">
        <v>4</v>
      </c>
      <c r="O21" s="1">
        <v>-2857</v>
      </c>
    </row>
    <row r="22" spans="1:18" x14ac:dyDescent="0.2">
      <c r="A22" s="84" t="s">
        <v>143</v>
      </c>
      <c r="B22" s="81">
        <v>142351</v>
      </c>
      <c r="C22" s="81"/>
      <c r="D22" s="81"/>
      <c r="E22" s="81"/>
      <c r="F22" s="81"/>
      <c r="G22" s="81"/>
      <c r="H22" s="1"/>
      <c r="I22" s="1"/>
      <c r="J22" s="1"/>
      <c r="K22" s="68">
        <f>B22*B51</f>
        <v>186864.15770000001</v>
      </c>
      <c r="L22" s="93"/>
      <c r="M22" s="93">
        <v>21</v>
      </c>
      <c r="N22" s="93">
        <v>5</v>
      </c>
      <c r="O22" s="1">
        <v>-25557</v>
      </c>
    </row>
    <row r="23" spans="1:18" x14ac:dyDescent="0.2">
      <c r="A23" s="110"/>
      <c r="B23" s="95"/>
      <c r="C23" s="81"/>
      <c r="D23" s="81"/>
      <c r="E23" s="81"/>
      <c r="F23" s="81"/>
      <c r="G23" s="81"/>
      <c r="H23" s="1"/>
      <c r="I23" s="1"/>
      <c r="J23" s="1"/>
      <c r="K23" s="95"/>
      <c r="L23" s="93"/>
      <c r="M23" s="93">
        <v>21</v>
      </c>
      <c r="N23" s="93">
        <v>6</v>
      </c>
      <c r="O23" s="1">
        <v>-1073</v>
      </c>
    </row>
    <row r="24" spans="1:18" x14ac:dyDescent="0.2">
      <c r="A24" s="37" t="s">
        <v>23</v>
      </c>
      <c r="B24" s="38"/>
      <c r="C24" s="38"/>
      <c r="D24" s="38"/>
      <c r="E24" s="10"/>
      <c r="F24" s="38"/>
      <c r="G24" s="38"/>
      <c r="H24" s="38"/>
      <c r="I24" s="38"/>
      <c r="J24" s="38"/>
      <c r="L24" s="93"/>
      <c r="M24" s="93">
        <v>21</v>
      </c>
      <c r="N24" s="93">
        <v>7</v>
      </c>
      <c r="O24" s="1">
        <v>145745</v>
      </c>
    </row>
    <row r="25" spans="1:18" x14ac:dyDescent="0.2">
      <c r="A25" s="41" t="s">
        <v>11</v>
      </c>
      <c r="E25" s="42"/>
      <c r="L25" s="93"/>
      <c r="M25" s="93">
        <v>21</v>
      </c>
      <c r="N25" s="93">
        <v>8</v>
      </c>
      <c r="O25" s="1">
        <v>-1219</v>
      </c>
    </row>
    <row r="26" spans="1:18" x14ac:dyDescent="0.2">
      <c r="A26" s="43" t="s">
        <v>12</v>
      </c>
      <c r="B26" s="43" t="s">
        <v>24</v>
      </c>
      <c r="C26" s="43" t="s">
        <v>25</v>
      </c>
      <c r="D26" s="43" t="s">
        <v>26</v>
      </c>
      <c r="E26" s="43" t="s">
        <v>27</v>
      </c>
      <c r="F26" s="43" t="s">
        <v>28</v>
      </c>
      <c r="G26" s="43" t="s">
        <v>29</v>
      </c>
      <c r="H26" s="43" t="s">
        <v>30</v>
      </c>
      <c r="I26" s="43" t="s">
        <v>31</v>
      </c>
      <c r="J26" s="43" t="s">
        <v>32</v>
      </c>
      <c r="K26" s="46"/>
      <c r="L26" s="93"/>
      <c r="M26" s="93">
        <v>21</v>
      </c>
      <c r="N26" s="93">
        <v>9</v>
      </c>
      <c r="O26" s="1">
        <v>-63910</v>
      </c>
    </row>
    <row r="27" spans="1:18" x14ac:dyDescent="0.2">
      <c r="A27" s="41"/>
      <c r="B27" s="44"/>
      <c r="K27" s="45"/>
      <c r="L27" s="93"/>
      <c r="M27" s="93">
        <v>21</v>
      </c>
      <c r="N27" s="93">
        <v>10</v>
      </c>
      <c r="O27" s="1">
        <v>-103224</v>
      </c>
    </row>
    <row r="28" spans="1:18" x14ac:dyDescent="0.2">
      <c r="A28" s="84" t="str">
        <f t="shared" ref="A28:A41" si="0">A8</f>
        <v>08</v>
      </c>
      <c r="B28" s="47">
        <f t="shared" ref="B28:J40" si="1">ROUND(IF(C8=0," ",IF(B8=0," ",C8/B8)),4)</f>
        <v>1.2462</v>
      </c>
      <c r="C28" s="47">
        <f t="shared" si="1"/>
        <v>0.98450000000000004</v>
      </c>
      <c r="D28" s="47">
        <f t="shared" si="1"/>
        <v>0.98870000000000002</v>
      </c>
      <c r="E28" s="47">
        <f t="shared" si="1"/>
        <v>0.99590000000000001</v>
      </c>
      <c r="F28" s="47">
        <f t="shared" si="1"/>
        <v>0.99850000000000005</v>
      </c>
      <c r="G28" s="47">
        <f t="shared" si="1"/>
        <v>0.99790000000000001</v>
      </c>
      <c r="H28" s="47">
        <f t="shared" si="1"/>
        <v>0.99980000000000002</v>
      </c>
      <c r="I28" s="47">
        <f t="shared" si="1"/>
        <v>0.99990000000000001</v>
      </c>
      <c r="J28" s="47">
        <f t="shared" si="1"/>
        <v>1.2895000000000001</v>
      </c>
      <c r="L28" s="93"/>
      <c r="M28" s="93">
        <v>21</v>
      </c>
      <c r="N28" s="93">
        <v>11</v>
      </c>
      <c r="O28" s="1">
        <v>-67861</v>
      </c>
    </row>
    <row r="29" spans="1:18" x14ac:dyDescent="0.2">
      <c r="A29" s="84" t="str">
        <f t="shared" si="0"/>
        <v>09</v>
      </c>
      <c r="B29" s="47">
        <f t="shared" si="1"/>
        <v>1.2733000000000001</v>
      </c>
      <c r="C29" s="47">
        <f t="shared" si="1"/>
        <v>0.99009999999999998</v>
      </c>
      <c r="D29" s="47">
        <f t="shared" si="1"/>
        <v>0.98780000000000001</v>
      </c>
      <c r="E29" s="47">
        <f t="shared" si="1"/>
        <v>0.998</v>
      </c>
      <c r="F29" s="47">
        <f t="shared" si="1"/>
        <v>0.99950000000000006</v>
      </c>
      <c r="G29" s="47">
        <f t="shared" si="1"/>
        <v>0.999</v>
      </c>
      <c r="H29" s="47">
        <f t="shared" si="1"/>
        <v>0.99960000000000004</v>
      </c>
      <c r="I29" s="47">
        <f t="shared" si="1"/>
        <v>1.0004</v>
      </c>
      <c r="J29" s="47">
        <f t="shared" si="1"/>
        <v>1.2056</v>
      </c>
      <c r="L29" s="93"/>
      <c r="M29" s="93">
        <v>21</v>
      </c>
      <c r="N29" s="93">
        <v>12</v>
      </c>
      <c r="O29" s="1">
        <v>-22492</v>
      </c>
    </row>
    <row r="30" spans="1:18" x14ac:dyDescent="0.2">
      <c r="A30" s="84" t="str">
        <f t="shared" si="0"/>
        <v>10</v>
      </c>
      <c r="B30" s="47">
        <f t="shared" si="1"/>
        <v>1.2592000000000001</v>
      </c>
      <c r="C30" s="47">
        <f t="shared" si="1"/>
        <v>1.0113000000000001</v>
      </c>
      <c r="D30" s="47">
        <f t="shared" si="1"/>
        <v>0.99099999999999999</v>
      </c>
      <c r="E30" s="47">
        <f t="shared" si="1"/>
        <v>0.99450000000000005</v>
      </c>
      <c r="F30" s="47">
        <f t="shared" si="1"/>
        <v>1.0007999999999999</v>
      </c>
      <c r="G30" s="47">
        <f t="shared" si="1"/>
        <v>0.99929999999999997</v>
      </c>
      <c r="H30" s="47">
        <f t="shared" si="1"/>
        <v>0.99980000000000002</v>
      </c>
      <c r="I30" s="47">
        <f t="shared" si="1"/>
        <v>1</v>
      </c>
      <c r="J30" s="47">
        <f t="shared" si="1"/>
        <v>1.1218999999999999</v>
      </c>
      <c r="L30" s="93"/>
      <c r="M30" s="93">
        <v>21</v>
      </c>
      <c r="N30" s="93"/>
      <c r="O30" s="1">
        <f>SUM(O18:O29)</f>
        <v>-140604</v>
      </c>
    </row>
    <row r="31" spans="1:18" x14ac:dyDescent="0.2">
      <c r="A31" s="84" t="str">
        <f t="shared" si="0"/>
        <v>11</v>
      </c>
      <c r="B31" s="47">
        <f t="shared" si="1"/>
        <v>1.3264</v>
      </c>
      <c r="C31" s="47">
        <f t="shared" si="1"/>
        <v>0.99819999999999998</v>
      </c>
      <c r="D31" s="47">
        <f t="shared" si="1"/>
        <v>0.99370000000000003</v>
      </c>
      <c r="E31" s="47">
        <f t="shared" si="1"/>
        <v>0.99839999999999995</v>
      </c>
      <c r="F31" s="47">
        <f t="shared" si="1"/>
        <v>0.99880000000000002</v>
      </c>
      <c r="G31" s="47">
        <f t="shared" si="1"/>
        <v>1</v>
      </c>
      <c r="H31" s="47">
        <f t="shared" si="1"/>
        <v>1.0011000000000001</v>
      </c>
      <c r="I31" s="47">
        <f t="shared" si="1"/>
        <v>1</v>
      </c>
      <c r="J31" s="47">
        <f t="shared" si="1"/>
        <v>1.0311999999999999</v>
      </c>
      <c r="L31" s="93"/>
      <c r="M31" s="93">
        <v>22</v>
      </c>
      <c r="N31" s="93">
        <v>1</v>
      </c>
      <c r="O31" s="1">
        <v>-70995</v>
      </c>
    </row>
    <row r="32" spans="1:18" x14ac:dyDescent="0.2">
      <c r="A32" s="84" t="str">
        <f t="shared" si="0"/>
        <v>12</v>
      </c>
      <c r="B32" s="47">
        <f t="shared" si="1"/>
        <v>1.3568</v>
      </c>
      <c r="C32" s="47">
        <f t="shared" si="1"/>
        <v>0.98250000000000004</v>
      </c>
      <c r="D32" s="47">
        <f t="shared" si="1"/>
        <v>0.99350000000000005</v>
      </c>
      <c r="E32" s="47">
        <f t="shared" si="1"/>
        <v>0.99780000000000002</v>
      </c>
      <c r="F32" s="47">
        <f t="shared" si="1"/>
        <v>0.99850000000000005</v>
      </c>
      <c r="G32" s="47">
        <f t="shared" si="1"/>
        <v>1.0006999999999999</v>
      </c>
      <c r="H32" s="47">
        <f t="shared" si="1"/>
        <v>0.99970000000000003</v>
      </c>
      <c r="I32" s="47">
        <f t="shared" si="1"/>
        <v>1.0001</v>
      </c>
      <c r="J32" s="47">
        <f t="shared" si="1"/>
        <v>0.93669999999999998</v>
      </c>
      <c r="L32" s="93"/>
      <c r="M32" s="93">
        <v>22</v>
      </c>
      <c r="N32" s="93">
        <v>2</v>
      </c>
      <c r="O32" s="1">
        <v>65516</v>
      </c>
    </row>
    <row r="33" spans="1:15" x14ac:dyDescent="0.2">
      <c r="A33" s="84" t="str">
        <f t="shared" si="0"/>
        <v>13</v>
      </c>
      <c r="B33" s="47">
        <f t="shared" si="1"/>
        <v>1.3709</v>
      </c>
      <c r="C33" s="47">
        <f t="shared" si="1"/>
        <v>0.99</v>
      </c>
      <c r="D33" s="47">
        <f t="shared" si="1"/>
        <v>0.99690000000000001</v>
      </c>
      <c r="E33" s="47">
        <f t="shared" si="1"/>
        <v>1.0014000000000001</v>
      </c>
      <c r="F33" s="47">
        <f t="shared" si="1"/>
        <v>0.99829999999999997</v>
      </c>
      <c r="G33" s="47">
        <f t="shared" si="1"/>
        <v>0.99670000000000003</v>
      </c>
      <c r="H33" s="47">
        <f t="shared" si="1"/>
        <v>1.0001</v>
      </c>
      <c r="I33" s="47">
        <f t="shared" si="1"/>
        <v>1.0002</v>
      </c>
      <c r="J33" s="47">
        <f t="shared" si="1"/>
        <v>0.85960000000000003</v>
      </c>
      <c r="L33" s="93"/>
      <c r="M33" s="93">
        <v>22</v>
      </c>
      <c r="N33" s="93">
        <v>3</v>
      </c>
      <c r="O33" s="1">
        <v>-487488</v>
      </c>
    </row>
    <row r="34" spans="1:15" x14ac:dyDescent="0.2">
      <c r="A34" s="84" t="str">
        <f t="shared" si="0"/>
        <v>14</v>
      </c>
      <c r="B34" s="47">
        <f t="shared" si="1"/>
        <v>1.3880999999999999</v>
      </c>
      <c r="C34" s="47">
        <f t="shared" si="1"/>
        <v>0.98780000000000001</v>
      </c>
      <c r="D34" s="47">
        <f t="shared" si="1"/>
        <v>0.995</v>
      </c>
      <c r="E34" s="47">
        <f t="shared" si="1"/>
        <v>1.0004</v>
      </c>
      <c r="F34" s="47">
        <f t="shared" si="1"/>
        <v>0.99950000000000006</v>
      </c>
      <c r="G34" s="47">
        <f t="shared" si="1"/>
        <v>0.99850000000000005</v>
      </c>
      <c r="H34" s="47">
        <f t="shared" si="1"/>
        <v>0.99990000000000001</v>
      </c>
      <c r="I34" s="47">
        <f t="shared" si="1"/>
        <v>1</v>
      </c>
      <c r="J34" s="47">
        <f t="shared" si="1"/>
        <v>1</v>
      </c>
      <c r="L34" s="93"/>
      <c r="M34" s="93">
        <v>22</v>
      </c>
      <c r="N34" s="93">
        <v>4</v>
      </c>
      <c r="O34" s="1">
        <v>-260639</v>
      </c>
    </row>
    <row r="35" spans="1:15" x14ac:dyDescent="0.2">
      <c r="A35" s="84" t="str">
        <f t="shared" si="0"/>
        <v>15</v>
      </c>
      <c r="B35" s="47">
        <f t="shared" si="1"/>
        <v>1.3633999999999999</v>
      </c>
      <c r="C35" s="47">
        <f t="shared" si="1"/>
        <v>0.99609999999999999</v>
      </c>
      <c r="D35" s="47">
        <f t="shared" si="1"/>
        <v>0.99239999999999995</v>
      </c>
      <c r="E35" s="47">
        <f t="shared" si="1"/>
        <v>0.99709999999999999</v>
      </c>
      <c r="F35" s="47">
        <f t="shared" si="1"/>
        <v>0.99980000000000002</v>
      </c>
      <c r="G35" s="47">
        <f t="shared" si="1"/>
        <v>0.99939999999999996</v>
      </c>
      <c r="H35" s="47">
        <f t="shared" si="1"/>
        <v>0.99980000000000002</v>
      </c>
      <c r="I35" s="47">
        <f t="shared" si="1"/>
        <v>1</v>
      </c>
      <c r="J35" s="47">
        <f t="shared" si="1"/>
        <v>0.99980000000000002</v>
      </c>
      <c r="L35" s="93"/>
      <c r="M35" s="93">
        <v>22</v>
      </c>
      <c r="N35" s="93">
        <v>5</v>
      </c>
      <c r="O35" s="1">
        <v>418260</v>
      </c>
    </row>
    <row r="36" spans="1:15" x14ac:dyDescent="0.2">
      <c r="A36" s="84" t="str">
        <f t="shared" si="0"/>
        <v>16</v>
      </c>
      <c r="B36" s="47">
        <f t="shared" si="1"/>
        <v>1.3654999999999999</v>
      </c>
      <c r="C36" s="47">
        <f t="shared" si="1"/>
        <v>0.9859</v>
      </c>
      <c r="D36" s="47">
        <f t="shared" si="1"/>
        <v>0.99309999999999998</v>
      </c>
      <c r="E36" s="47">
        <f t="shared" si="1"/>
        <v>0.99790000000000001</v>
      </c>
      <c r="F36" s="47">
        <f t="shared" si="1"/>
        <v>0.997</v>
      </c>
      <c r="G36" s="47">
        <f t="shared" si="1"/>
        <v>0.99950000000000006</v>
      </c>
      <c r="H36" s="47">
        <f t="shared" si="1"/>
        <v>0.99990000000000001</v>
      </c>
      <c r="I36" s="47">
        <f t="shared" si="1"/>
        <v>1</v>
      </c>
      <c r="J36" s="47">
        <f t="shared" si="1"/>
        <v>1</v>
      </c>
      <c r="L36" s="93"/>
      <c r="M36" s="93">
        <v>22</v>
      </c>
      <c r="N36" s="93">
        <v>6</v>
      </c>
      <c r="O36" s="1">
        <v>141589</v>
      </c>
    </row>
    <row r="37" spans="1:15" x14ac:dyDescent="0.2">
      <c r="A37" s="84" t="str">
        <f t="shared" si="0"/>
        <v>17</v>
      </c>
      <c r="B37" s="47">
        <f t="shared" si="1"/>
        <v>1.3696999999999999</v>
      </c>
      <c r="C37" s="47">
        <f t="shared" si="1"/>
        <v>0.995</v>
      </c>
      <c r="D37" s="47">
        <f t="shared" si="1"/>
        <v>0.99429999999999996</v>
      </c>
      <c r="E37" s="47">
        <f t="shared" si="1"/>
        <v>0.99760000000000004</v>
      </c>
      <c r="F37" s="47">
        <f t="shared" si="1"/>
        <v>0.99950000000000006</v>
      </c>
      <c r="G37" s="47">
        <f t="shared" si="1"/>
        <v>0.99980000000000002</v>
      </c>
      <c r="H37" s="47">
        <f t="shared" si="1"/>
        <v>0.99990000000000001</v>
      </c>
      <c r="I37" s="47">
        <f t="shared" si="1"/>
        <v>0.99990000000000001</v>
      </c>
      <c r="J37" s="47">
        <f t="shared" si="1"/>
        <v>0.99990000000000001</v>
      </c>
      <c r="L37" s="93"/>
      <c r="M37" s="93">
        <v>22</v>
      </c>
      <c r="N37" s="93">
        <v>7</v>
      </c>
      <c r="O37" s="1">
        <v>18039902</v>
      </c>
    </row>
    <row r="38" spans="1:15" x14ac:dyDescent="0.2">
      <c r="A38" s="84" t="str">
        <f t="shared" si="0"/>
        <v>18</v>
      </c>
      <c r="B38" s="47">
        <f t="shared" si="1"/>
        <v>1.3813</v>
      </c>
      <c r="C38" s="47">
        <f t="shared" si="1"/>
        <v>0.98429999999999995</v>
      </c>
      <c r="D38" s="47">
        <f t="shared" si="1"/>
        <v>0.99260000000000004</v>
      </c>
      <c r="E38" s="47">
        <f t="shared" si="1"/>
        <v>0.99480000000000002</v>
      </c>
      <c r="F38" s="47">
        <f t="shared" si="1"/>
        <v>0.99929999999999997</v>
      </c>
      <c r="G38" s="47">
        <f t="shared" si="1"/>
        <v>0.99960000000000004</v>
      </c>
      <c r="H38" s="47">
        <f t="shared" si="1"/>
        <v>1.0001</v>
      </c>
      <c r="I38" s="47">
        <f t="shared" si="1"/>
        <v>0.99980000000000002</v>
      </c>
      <c r="J38" s="47">
        <f t="shared" si="1"/>
        <v>1</v>
      </c>
      <c r="L38" s="93"/>
      <c r="M38" s="93">
        <v>22</v>
      </c>
      <c r="N38" s="93">
        <v>8</v>
      </c>
      <c r="O38" s="1">
        <v>15853923</v>
      </c>
    </row>
    <row r="39" spans="1:15" x14ac:dyDescent="0.2">
      <c r="A39" s="84" t="str">
        <f t="shared" si="0"/>
        <v>19</v>
      </c>
      <c r="B39" s="47">
        <f t="shared" si="1"/>
        <v>1.3532999999999999</v>
      </c>
      <c r="C39" s="47">
        <f t="shared" si="1"/>
        <v>0.96499999999999997</v>
      </c>
      <c r="D39" s="47">
        <f t="shared" si="1"/>
        <v>0.9627</v>
      </c>
      <c r="E39" s="47">
        <f t="shared" si="1"/>
        <v>0.99719999999999998</v>
      </c>
      <c r="F39" s="47">
        <f t="shared" si="1"/>
        <v>1.0018</v>
      </c>
      <c r="G39" s="47">
        <f t="shared" si="1"/>
        <v>0.99950000000000006</v>
      </c>
      <c r="H39" s="47">
        <f t="shared" si="1"/>
        <v>0.99990000000000001</v>
      </c>
      <c r="I39" s="47">
        <f t="shared" si="1"/>
        <v>1</v>
      </c>
      <c r="J39" s="47">
        <f>ROUND(IF(K19=0," ",IF(J19=0," ",K19/J19)),4)</f>
        <v>0.99990000000000001</v>
      </c>
      <c r="L39" s="93"/>
      <c r="M39" s="93">
        <v>22</v>
      </c>
      <c r="N39" s="93">
        <v>9</v>
      </c>
      <c r="O39" s="1">
        <v>14950516</v>
      </c>
    </row>
    <row r="40" spans="1:15" x14ac:dyDescent="0.2">
      <c r="A40" s="84" t="str">
        <f t="shared" si="0"/>
        <v>20</v>
      </c>
      <c r="B40" s="47">
        <f t="shared" si="1"/>
        <v>1.4034</v>
      </c>
      <c r="C40" s="47">
        <f t="shared" si="1"/>
        <v>0.97650000000000003</v>
      </c>
      <c r="D40" s="47">
        <f t="shared" si="1"/>
        <v>1.0008999999999999</v>
      </c>
      <c r="E40" s="47">
        <f t="shared" si="1"/>
        <v>0.99780000000000002</v>
      </c>
      <c r="F40" s="47">
        <f t="shared" si="1"/>
        <v>0.99929999999999997</v>
      </c>
      <c r="G40" s="47">
        <f t="shared" si="1"/>
        <v>0.99929999999999997</v>
      </c>
      <c r="H40" s="47">
        <f t="shared" si="1"/>
        <v>1.0004</v>
      </c>
      <c r="I40" s="47">
        <f t="shared" si="1"/>
        <v>0.99980000000000002</v>
      </c>
      <c r="J40" s="48"/>
      <c r="L40" s="93"/>
      <c r="M40" s="93">
        <v>22</v>
      </c>
      <c r="N40" s="93"/>
      <c r="O40" s="1">
        <v>48650584</v>
      </c>
    </row>
    <row r="41" spans="1:15" x14ac:dyDescent="0.2">
      <c r="A41" s="84" t="str">
        <f t="shared" si="0"/>
        <v>21</v>
      </c>
      <c r="B41" s="47">
        <f>ROUND(IF(C21=0," ",IF(B21=0," ",C21/B21)),4)</f>
        <v>1.3386</v>
      </c>
      <c r="C41" s="47">
        <f>ROUND(IF(D21=0," ",IF(C21=0," ",D21/C21)),4)</f>
        <v>0.99129999999999996</v>
      </c>
      <c r="D41" s="47">
        <f>ROUND(IF(E21=0," ",IF(D21=0," ",E21/D21)),4)</f>
        <v>0.99419999999999997</v>
      </c>
      <c r="E41" s="47">
        <f>ROUND(IF(F21=0," ",IF(E21=0," ",F21/E21)),4)</f>
        <v>0.99929999999999997</v>
      </c>
      <c r="F41" s="48"/>
      <c r="G41" s="48"/>
      <c r="H41" s="48"/>
      <c r="I41" s="48"/>
      <c r="J41" s="48"/>
      <c r="L41" s="93"/>
      <c r="M41" s="93"/>
      <c r="N41" s="93"/>
    </row>
    <row r="42" spans="1:15" x14ac:dyDescent="0.2">
      <c r="A42" s="84"/>
      <c r="B42" s="47"/>
      <c r="C42" s="47"/>
      <c r="D42" s="47"/>
      <c r="E42" s="47"/>
      <c r="F42" s="48"/>
      <c r="G42" s="48"/>
      <c r="H42" s="48"/>
      <c r="I42" s="48"/>
      <c r="J42" s="48"/>
      <c r="L42" s="93"/>
      <c r="M42" s="93"/>
      <c r="N42" s="93"/>
    </row>
    <row r="43" spans="1:15" x14ac:dyDescent="0.2">
      <c r="B43" s="47"/>
      <c r="L43" s="93"/>
      <c r="M43" s="93"/>
      <c r="N43" s="93"/>
    </row>
    <row r="44" spans="1:15" x14ac:dyDescent="0.2">
      <c r="A44" s="45" t="s">
        <v>45</v>
      </c>
      <c r="B44" s="64">
        <f>AVERAGE(B39:B41)</f>
        <v>1.3651</v>
      </c>
      <c r="C44" s="64">
        <f>AVERAGE(C39:C41)</f>
        <v>0.97759999999999991</v>
      </c>
      <c r="D44" s="64">
        <f>AVERAGE(D39:D41)</f>
        <v>0.98593333333333322</v>
      </c>
      <c r="E44" s="64">
        <f>AVERAGE(E39:E41)</f>
        <v>0.99809999999999999</v>
      </c>
      <c r="F44" s="64">
        <f>AVERAGE(F38:F40)</f>
        <v>1.0001333333333333</v>
      </c>
      <c r="G44" s="64">
        <f>AVERAGE(G38:G40)</f>
        <v>0.99946666666666673</v>
      </c>
      <c r="H44" s="64">
        <f>AVERAGE(H38:H40)</f>
        <v>1.0001333333333333</v>
      </c>
      <c r="I44" s="64">
        <f>AVERAGE(I38:I40)</f>
        <v>0.99986666666666668</v>
      </c>
      <c r="J44" s="64">
        <f>AVERAGE(J37:J39)</f>
        <v>0.99993333333333334</v>
      </c>
      <c r="L44" s="93"/>
      <c r="M44" s="93"/>
      <c r="N44" s="93"/>
    </row>
    <row r="45" spans="1:15" x14ac:dyDescent="0.2">
      <c r="A45" s="45" t="s">
        <v>46</v>
      </c>
      <c r="B45" s="47">
        <f t="shared" ref="B45:J45" si="2">B44</f>
        <v>1.3651</v>
      </c>
      <c r="C45" s="47">
        <f t="shared" si="2"/>
        <v>0.97759999999999991</v>
      </c>
      <c r="D45" s="47">
        <f t="shared" si="2"/>
        <v>0.98593333333333322</v>
      </c>
      <c r="E45" s="47">
        <f t="shared" si="2"/>
        <v>0.99809999999999999</v>
      </c>
      <c r="F45" s="47">
        <f t="shared" si="2"/>
        <v>1.0001333333333333</v>
      </c>
      <c r="G45" s="47">
        <f t="shared" si="2"/>
        <v>0.99946666666666673</v>
      </c>
      <c r="H45" s="47">
        <f t="shared" si="2"/>
        <v>1.0001333333333333</v>
      </c>
      <c r="I45" s="64">
        <f t="shared" si="2"/>
        <v>0.99986666666666668</v>
      </c>
      <c r="J45" s="47">
        <f t="shared" si="2"/>
        <v>0.99993333333333334</v>
      </c>
      <c r="L45" s="93"/>
      <c r="M45" s="93"/>
      <c r="N45" s="93"/>
    </row>
    <row r="46" spans="1:15" x14ac:dyDescent="0.2">
      <c r="L46" s="93"/>
      <c r="M46" s="93"/>
      <c r="N46" s="93"/>
    </row>
    <row r="48" spans="1:15" x14ac:dyDescent="0.2">
      <c r="A48" s="37" t="s">
        <v>35</v>
      </c>
      <c r="B48" s="38"/>
      <c r="C48" s="38"/>
      <c r="D48" s="38"/>
      <c r="E48" s="10"/>
      <c r="F48" s="38"/>
      <c r="G48" s="38"/>
      <c r="H48" s="38"/>
      <c r="I48" s="38"/>
      <c r="J48" s="38"/>
    </row>
    <row r="49" spans="2:11" x14ac:dyDescent="0.2">
      <c r="B49" s="43" t="s">
        <v>36</v>
      </c>
      <c r="C49" s="43" t="s">
        <v>37</v>
      </c>
      <c r="D49" s="43" t="s">
        <v>38</v>
      </c>
      <c r="E49" s="43" t="s">
        <v>39</v>
      </c>
      <c r="F49" s="43" t="s">
        <v>40</v>
      </c>
      <c r="G49" s="43" t="s">
        <v>41</v>
      </c>
      <c r="H49" s="43" t="s">
        <v>42</v>
      </c>
      <c r="I49" s="43" t="s">
        <v>43</v>
      </c>
      <c r="J49" s="43" t="s">
        <v>32</v>
      </c>
    </row>
    <row r="50" spans="2:11" x14ac:dyDescent="0.2">
      <c r="B50" s="44"/>
      <c r="K50" s="45"/>
    </row>
    <row r="51" spans="2:11" x14ac:dyDescent="0.2">
      <c r="B51" s="47">
        <f t="shared" ref="B51:I51" si="3">ROUND(C51*B45,4)</f>
        <v>1.3127</v>
      </c>
      <c r="C51" s="47">
        <f t="shared" si="3"/>
        <v>0.96160000000000001</v>
      </c>
      <c r="D51" s="47">
        <f>ROUND(E51*D45,4)</f>
        <v>0.98360000000000003</v>
      </c>
      <c r="E51" s="47">
        <f t="shared" si="3"/>
        <v>0.99760000000000004</v>
      </c>
      <c r="F51" s="47">
        <f t="shared" si="3"/>
        <v>0.99950000000000006</v>
      </c>
      <c r="G51" s="47">
        <f>ROUND(H51*G45,4)</f>
        <v>0.99939999999999996</v>
      </c>
      <c r="H51" s="47">
        <f t="shared" si="3"/>
        <v>0.99990000000000001</v>
      </c>
      <c r="I51" s="47">
        <f t="shared" si="3"/>
        <v>0.99980000000000002</v>
      </c>
      <c r="J51" s="47">
        <f>J45</f>
        <v>0.99993333333333334</v>
      </c>
    </row>
    <row r="53" spans="2:11" x14ac:dyDescent="0.2">
      <c r="B53" s="45"/>
    </row>
    <row r="54" spans="2:11" x14ac:dyDescent="0.2">
      <c r="B54" s="45" t="s">
        <v>44</v>
      </c>
      <c r="K54" s="49"/>
    </row>
    <row r="56" spans="2:11" ht="12" customHeight="1" x14ac:dyDescent="0.2"/>
  </sheetData>
  <printOptions gridLinesSet="0"/>
  <pageMargins left="0" right="0" top="0.5" bottom="0" header="0" footer="0.27"/>
  <pageSetup scale="87" orientation="landscape" horizontalDpi="300" verticalDpi="300" r:id="rId1"/>
  <headerFooter alignWithMargins="0">
    <oddFooter>&amp;R&amp;8&amp;D
n:\lrc\ind00\ultimate\&amp;F&amp;A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"/>
  <sheetViews>
    <sheetView workbookViewId="0">
      <selection activeCell="H11" sqref="H11"/>
    </sheetView>
  </sheetViews>
  <sheetFormatPr defaultRowHeight="12" x14ac:dyDescent="0.15"/>
  <sheetData>
    <row r="1" spans="1:4" x14ac:dyDescent="0.15">
      <c r="A1" s="90">
        <v>1</v>
      </c>
      <c r="B1" t="s">
        <v>100</v>
      </c>
    </row>
    <row r="4" spans="1:4" ht="12.75" x14ac:dyDescent="0.2">
      <c r="B4" s="103" t="s">
        <v>146</v>
      </c>
      <c r="C4" s="6"/>
      <c r="D4" s="103" t="s">
        <v>166</v>
      </c>
    </row>
    <row r="5" spans="1:4" ht="12.75" x14ac:dyDescent="0.2">
      <c r="B5" s="103" t="s">
        <v>147</v>
      </c>
      <c r="C5" s="6"/>
      <c r="D5" s="103" t="s">
        <v>167</v>
      </c>
    </row>
    <row r="6" spans="1:4" ht="12.75" x14ac:dyDescent="0.2">
      <c r="B6" s="103" t="s">
        <v>148</v>
      </c>
      <c r="C6" s="6"/>
      <c r="D6" s="103" t="s">
        <v>168</v>
      </c>
    </row>
    <row r="7" spans="1:4" ht="12.75" x14ac:dyDescent="0.2">
      <c r="B7" s="103" t="s">
        <v>149</v>
      </c>
      <c r="C7" s="6"/>
      <c r="D7" s="103" t="s">
        <v>169</v>
      </c>
    </row>
    <row r="8" spans="1:4" ht="12.75" x14ac:dyDescent="0.2">
      <c r="B8" s="6"/>
      <c r="C8" s="6"/>
      <c r="D8" s="103" t="s">
        <v>170</v>
      </c>
    </row>
    <row r="9" spans="1:4" ht="12.75" x14ac:dyDescent="0.2">
      <c r="B9" s="6"/>
      <c r="C9" s="6"/>
      <c r="D9" s="103" t="s">
        <v>171</v>
      </c>
    </row>
    <row r="10" spans="1:4" ht="12.75" x14ac:dyDescent="0.2">
      <c r="D10" s="103" t="s">
        <v>172</v>
      </c>
    </row>
  </sheetData>
  <phoneticPr fontId="8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codeName="Sheet1"/>
  <dimension ref="A1:O194"/>
  <sheetViews>
    <sheetView showGridLines="0" tabSelected="1" view="pageBreakPreview" zoomScaleNormal="100" workbookViewId="0">
      <selection activeCell="C13" sqref="C13"/>
    </sheetView>
  </sheetViews>
  <sheetFormatPr defaultColWidth="8.625" defaultRowHeight="12.75" x14ac:dyDescent="0.2"/>
  <cols>
    <col min="1" max="1" width="30.625" style="6" customWidth="1"/>
    <col min="2" max="2" width="18.625" style="6" customWidth="1"/>
    <col min="3" max="3" width="14.125" style="6" customWidth="1"/>
    <col min="4" max="4" width="18.625" style="6" customWidth="1"/>
    <col min="5" max="5" width="12.625" style="6" customWidth="1"/>
    <col min="6" max="6" width="18.625" style="6" customWidth="1"/>
    <col min="7" max="7" width="12.375" style="6" customWidth="1"/>
    <col min="8" max="8" width="9.75" style="6" customWidth="1"/>
    <col min="9" max="9" width="27.625" style="6" bestFit="1" customWidth="1"/>
    <col min="10" max="10" width="7.875" style="6" bestFit="1" customWidth="1"/>
    <col min="11" max="11" width="27.625" style="6" bestFit="1" customWidth="1"/>
    <col min="12" max="12" width="7.875" style="6" bestFit="1" customWidth="1"/>
    <col min="13" max="13" width="27.625" style="6" bestFit="1" customWidth="1"/>
    <col min="14" max="14" width="7" style="6" bestFit="1" customWidth="1"/>
    <col min="15" max="15" width="6.125" style="6" bestFit="1" customWidth="1"/>
    <col min="16" max="16384" width="8.625" style="6"/>
  </cols>
  <sheetData>
    <row r="1" spans="1:14" x14ac:dyDescent="0.2">
      <c r="A1" s="8" t="s">
        <v>126</v>
      </c>
      <c r="B1" s="10"/>
      <c r="C1" s="7"/>
      <c r="D1" s="7"/>
      <c r="E1" s="7"/>
      <c r="F1" s="7"/>
      <c r="G1" s="9" t="s">
        <v>84</v>
      </c>
      <c r="H1" s="102" t="s">
        <v>165</v>
      </c>
    </row>
    <row r="2" spans="1:14" x14ac:dyDescent="0.2">
      <c r="A2" s="14" t="s">
        <v>164</v>
      </c>
      <c r="B2" s="10"/>
      <c r="C2" s="7"/>
      <c r="D2" s="7"/>
      <c r="E2" s="7"/>
      <c r="F2" s="7"/>
      <c r="G2" s="12" t="s">
        <v>85</v>
      </c>
      <c r="H2" s="79">
        <v>3</v>
      </c>
      <c r="I2" s="98">
        <v>0.78600000000000003</v>
      </c>
    </row>
    <row r="3" spans="1:14" x14ac:dyDescent="0.2">
      <c r="A3" s="8" t="s">
        <v>125</v>
      </c>
      <c r="B3" s="10"/>
      <c r="C3" s="7"/>
      <c r="D3" s="7"/>
      <c r="E3" s="7"/>
      <c r="F3" s="7"/>
      <c r="G3" s="12" t="s">
        <v>86</v>
      </c>
      <c r="H3" s="6" t="str">
        <f>IF('ind or final'!A1=1,'ind or final'!B4,'ind or final'!D4)</f>
        <v>1 of 4</v>
      </c>
      <c r="I3" s="98">
        <v>0.80900000000000005</v>
      </c>
    </row>
    <row r="4" spans="1:14" x14ac:dyDescent="0.2">
      <c r="A4" s="7"/>
      <c r="B4" s="7"/>
      <c r="C4" s="7"/>
      <c r="D4" s="7"/>
      <c r="E4" s="7"/>
      <c r="F4" s="7"/>
      <c r="H4" s="13"/>
      <c r="I4" s="98">
        <v>0.89400000000000002</v>
      </c>
    </row>
    <row r="5" spans="1:14" x14ac:dyDescent="0.2">
      <c r="A5" s="140" t="s">
        <v>0</v>
      </c>
      <c r="B5" s="140"/>
      <c r="C5" s="140"/>
      <c r="D5" s="140"/>
      <c r="E5" s="140"/>
      <c r="F5" s="140"/>
      <c r="G5" s="140"/>
      <c r="H5" s="140"/>
    </row>
    <row r="11" spans="1:14" x14ac:dyDescent="0.2">
      <c r="B11" s="14" t="s">
        <v>145</v>
      </c>
      <c r="C11" s="15"/>
      <c r="D11" s="14" t="s">
        <v>155</v>
      </c>
      <c r="E11" s="15"/>
      <c r="F11" s="14" t="s">
        <v>158</v>
      </c>
      <c r="G11" s="15"/>
      <c r="I11" s="6" t="s">
        <v>142</v>
      </c>
      <c r="K11" s="6" t="s">
        <v>145</v>
      </c>
      <c r="M11" s="6" t="s">
        <v>155</v>
      </c>
    </row>
    <row r="12" spans="1:14" x14ac:dyDescent="0.2">
      <c r="B12" s="9" t="s">
        <v>1</v>
      </c>
      <c r="C12" s="9" t="s">
        <v>2</v>
      </c>
      <c r="D12" s="9" t="s">
        <v>1</v>
      </c>
      <c r="E12" s="9" t="s">
        <v>2</v>
      </c>
      <c r="F12" s="9" t="s">
        <v>1</v>
      </c>
      <c r="G12" s="9" t="s">
        <v>2</v>
      </c>
      <c r="I12" s="6" t="s">
        <v>1</v>
      </c>
      <c r="J12" s="105" t="s">
        <v>2</v>
      </c>
      <c r="K12" s="105" t="s">
        <v>1</v>
      </c>
      <c r="L12" s="1" t="s">
        <v>2</v>
      </c>
      <c r="M12" s="6" t="s">
        <v>1</v>
      </c>
      <c r="N12" s="6" t="s">
        <v>2</v>
      </c>
    </row>
    <row r="13" spans="1:14" x14ac:dyDescent="0.2">
      <c r="J13" s="105"/>
      <c r="K13" s="105"/>
      <c r="L13" s="1"/>
    </row>
    <row r="14" spans="1:14" x14ac:dyDescent="0.2">
      <c r="J14" s="105"/>
      <c r="K14" s="105"/>
      <c r="L14" s="1"/>
    </row>
    <row r="16" spans="1:14" x14ac:dyDescent="0.2">
      <c r="A16" s="16" t="s">
        <v>3</v>
      </c>
      <c r="B16" s="109">
        <v>186300</v>
      </c>
      <c r="C16" s="108">
        <v>1</v>
      </c>
      <c r="D16" s="109">
        <v>208400</v>
      </c>
      <c r="E16" s="108">
        <v>1</v>
      </c>
      <c r="F16" s="109">
        <v>245400</v>
      </c>
      <c r="G16" s="5">
        <v>1</v>
      </c>
      <c r="I16" s="118">
        <v>183370</v>
      </c>
      <c r="J16" s="118">
        <v>1</v>
      </c>
      <c r="K16" s="118">
        <v>186300</v>
      </c>
      <c r="L16" s="118">
        <v>1</v>
      </c>
      <c r="M16" s="118">
        <v>208600</v>
      </c>
      <c r="N16" s="118">
        <v>1</v>
      </c>
    </row>
    <row r="17" spans="1:14" x14ac:dyDescent="0.2">
      <c r="A17" s="16" t="s">
        <v>4</v>
      </c>
      <c r="B17" s="4">
        <v>164876</v>
      </c>
      <c r="C17" s="5">
        <v>0.88500000000000001</v>
      </c>
      <c r="D17" s="4">
        <v>165470</v>
      </c>
      <c r="E17" s="5">
        <v>0.79400000000000004</v>
      </c>
      <c r="F17" s="4">
        <v>198283</v>
      </c>
      <c r="G17" s="5">
        <v>0.80800000000000005</v>
      </c>
      <c r="I17" s="118">
        <v>122308</v>
      </c>
      <c r="J17" s="118">
        <v>0.66700000000000004</v>
      </c>
      <c r="K17" s="118">
        <v>165621</v>
      </c>
      <c r="L17" s="118">
        <v>0.88900000000000001</v>
      </c>
      <c r="M17" s="118">
        <v>166254</v>
      </c>
      <c r="N17" s="118">
        <v>0.79700000000000004</v>
      </c>
    </row>
    <row r="18" spans="1:14" x14ac:dyDescent="0.2">
      <c r="A18" s="16" t="s">
        <v>5</v>
      </c>
      <c r="B18" s="4">
        <v>44031.128116514439</v>
      </c>
      <c r="C18" s="108">
        <v>0.23634529316432873</v>
      </c>
      <c r="D18" s="4">
        <v>49819</v>
      </c>
      <c r="E18" s="5">
        <v>0.23905609247224155</v>
      </c>
      <c r="F18" s="4">
        <v>59313</v>
      </c>
      <c r="G18" s="137">
        <v>0.2417</v>
      </c>
      <c r="I18" s="118">
        <v>36437</v>
      </c>
      <c r="J18" s="118">
        <v>0.19870753122102852</v>
      </c>
      <c r="K18" s="118">
        <v>44032</v>
      </c>
      <c r="L18" s="118">
        <v>0.23634851208844285</v>
      </c>
      <c r="M18" s="118">
        <v>49855</v>
      </c>
      <c r="N18" s="118">
        <v>0.23899999999999999</v>
      </c>
    </row>
    <row r="19" spans="1:14" x14ac:dyDescent="0.2">
      <c r="B19" s="4"/>
      <c r="D19" s="4"/>
      <c r="F19" s="4"/>
      <c r="I19" s="118"/>
      <c r="J19" s="118"/>
      <c r="K19" s="118"/>
      <c r="L19" s="118"/>
      <c r="M19" s="118"/>
      <c r="N19" s="118"/>
    </row>
    <row r="20" spans="1:14" x14ac:dyDescent="0.2">
      <c r="A20" s="16" t="s">
        <v>104</v>
      </c>
      <c r="B20" s="4">
        <v>-22607.128116514439</v>
      </c>
      <c r="C20" s="5">
        <v>-0.12134797700759227</v>
      </c>
      <c r="D20" s="4">
        <v>-6889</v>
      </c>
      <c r="E20" s="5">
        <v>-3.3056621880998081E-2</v>
      </c>
      <c r="F20" s="4">
        <v>-12196</v>
      </c>
      <c r="G20" s="5">
        <v>-4.9698451507742464E-2</v>
      </c>
      <c r="I20" s="118">
        <v>24625</v>
      </c>
      <c r="J20" s="119">
        <v>0.13429132355347112</v>
      </c>
      <c r="K20" s="119">
        <v>-23353</v>
      </c>
      <c r="L20" s="118">
        <v>-0.12535158346752551</v>
      </c>
      <c r="M20" s="118">
        <v>-7509</v>
      </c>
      <c r="N20" s="118">
        <v>-3.5997123681687442E-2</v>
      </c>
    </row>
    <row r="21" spans="1:14" x14ac:dyDescent="0.2">
      <c r="I21" s="118"/>
      <c r="J21" s="118"/>
      <c r="K21" s="118"/>
      <c r="L21" s="118"/>
      <c r="M21" s="118"/>
      <c r="N21" s="118"/>
    </row>
    <row r="22" spans="1:14" x14ac:dyDescent="0.2">
      <c r="B22" s="4"/>
      <c r="F22" s="4"/>
    </row>
    <row r="24" spans="1:14" x14ac:dyDescent="0.2">
      <c r="A24" s="8" t="s">
        <v>123</v>
      </c>
      <c r="B24" s="10"/>
      <c r="C24" s="7"/>
      <c r="D24" s="7"/>
      <c r="E24" s="7"/>
      <c r="F24" s="7"/>
      <c r="G24" s="9" t="s">
        <v>84</v>
      </c>
      <c r="H24" s="11" t="s">
        <v>165</v>
      </c>
    </row>
    <row r="25" spans="1:14" x14ac:dyDescent="0.2">
      <c r="A25" s="8" t="s">
        <v>124</v>
      </c>
      <c r="B25" s="10"/>
      <c r="C25" s="7"/>
      <c r="D25" s="7"/>
      <c r="E25" s="7"/>
      <c r="F25" s="7"/>
      <c r="G25" s="12" t="s">
        <v>85</v>
      </c>
      <c r="H25" s="74">
        <v>3</v>
      </c>
      <c r="J25" s="98"/>
    </row>
    <row r="26" spans="1:14" x14ac:dyDescent="0.2">
      <c r="G26" s="12" t="s">
        <v>86</v>
      </c>
      <c r="H26" s="6" t="s">
        <v>147</v>
      </c>
    </row>
    <row r="27" spans="1:14" x14ac:dyDescent="0.2">
      <c r="A27" s="140" t="s">
        <v>158</v>
      </c>
      <c r="B27" s="140"/>
      <c r="C27" s="140"/>
      <c r="D27" s="140"/>
      <c r="E27" s="140"/>
      <c r="F27" s="140"/>
      <c r="G27" s="140"/>
      <c r="H27" s="140"/>
    </row>
    <row r="29" spans="1:14" x14ac:dyDescent="0.2">
      <c r="B29" s="8" t="s">
        <v>6</v>
      </c>
      <c r="C29" s="7"/>
      <c r="D29" s="8" t="s">
        <v>7</v>
      </c>
      <c r="E29" s="7"/>
      <c r="F29" s="8" t="s">
        <v>8</v>
      </c>
      <c r="G29" s="7"/>
    </row>
    <row r="30" spans="1:14" x14ac:dyDescent="0.2">
      <c r="B30" s="9" t="s">
        <v>1</v>
      </c>
      <c r="C30" s="9" t="s">
        <v>2</v>
      </c>
      <c r="D30" s="9" t="s">
        <v>1</v>
      </c>
      <c r="E30" s="9" t="s">
        <v>2</v>
      </c>
      <c r="F30" s="9" t="s">
        <v>1</v>
      </c>
      <c r="G30" s="9" t="s">
        <v>9</v>
      </c>
    </row>
    <row r="31" spans="1:14" x14ac:dyDescent="0.2">
      <c r="B31" s="4"/>
      <c r="D31" s="83"/>
      <c r="E31" s="91"/>
      <c r="F31" s="83"/>
      <c r="G31" s="12"/>
    </row>
    <row r="32" spans="1:14" x14ac:dyDescent="0.2">
      <c r="A32" s="16" t="s">
        <v>3</v>
      </c>
      <c r="B32" s="83">
        <v>246000</v>
      </c>
      <c r="C32" s="5">
        <v>1</v>
      </c>
      <c r="D32" s="83">
        <v>245400</v>
      </c>
      <c r="E32" s="5">
        <v>1</v>
      </c>
      <c r="F32" s="83">
        <v>-600</v>
      </c>
      <c r="G32" s="5">
        <v>-2.4390243902439024E-3</v>
      </c>
    </row>
    <row r="33" spans="1:9" x14ac:dyDescent="0.2">
      <c r="A33" s="16" t="s">
        <v>4</v>
      </c>
      <c r="B33" s="83">
        <v>199998</v>
      </c>
      <c r="C33" s="5">
        <v>0.81299999999999994</v>
      </c>
      <c r="D33" s="83">
        <v>198283</v>
      </c>
      <c r="E33" s="5">
        <v>0.80800000000000005</v>
      </c>
      <c r="F33" s="83">
        <v>-1715</v>
      </c>
      <c r="G33" s="5">
        <v>-8.5750857508575078E-3</v>
      </c>
    </row>
    <row r="34" spans="1:9" x14ac:dyDescent="0.2">
      <c r="A34" s="16" t="s">
        <v>5</v>
      </c>
      <c r="B34" s="83">
        <v>59458</v>
      </c>
      <c r="C34" s="5">
        <v>0.2417</v>
      </c>
      <c r="D34" s="83">
        <v>59313</v>
      </c>
      <c r="E34" s="137">
        <v>0.2417</v>
      </c>
      <c r="F34" s="83">
        <v>-145</v>
      </c>
      <c r="G34" s="5">
        <v>-2.4386962225436443E-3</v>
      </c>
    </row>
    <row r="35" spans="1:9" x14ac:dyDescent="0.2">
      <c r="B35" s="83"/>
      <c r="D35" s="83"/>
      <c r="F35" s="83"/>
    </row>
    <row r="36" spans="1:9" x14ac:dyDescent="0.2">
      <c r="A36" s="16" t="s">
        <v>104</v>
      </c>
      <c r="B36" s="109">
        <v>-13456</v>
      </c>
      <c r="C36" s="108">
        <v>-5.4699186991869916E-2</v>
      </c>
      <c r="D36" s="83">
        <v>-12196</v>
      </c>
      <c r="E36" s="5">
        <v>-4.9698451507742464E-2</v>
      </c>
      <c r="F36" s="83">
        <v>1260</v>
      </c>
      <c r="G36" s="5">
        <v>-9.3638525564803801E-2</v>
      </c>
    </row>
    <row r="37" spans="1:9" x14ac:dyDescent="0.2">
      <c r="G37" s="12"/>
    </row>
    <row r="38" spans="1:9" x14ac:dyDescent="0.2">
      <c r="A38" s="140" t="s">
        <v>155</v>
      </c>
      <c r="B38" s="140"/>
      <c r="C38" s="140"/>
      <c r="D38" s="140"/>
      <c r="E38" s="140"/>
      <c r="F38" s="140"/>
      <c r="G38" s="140"/>
      <c r="H38" s="140"/>
    </row>
    <row r="40" spans="1:9" x14ac:dyDescent="0.2">
      <c r="B40" s="8" t="s">
        <v>6</v>
      </c>
      <c r="C40" s="7"/>
      <c r="D40" s="8" t="s">
        <v>7</v>
      </c>
      <c r="E40" s="7"/>
      <c r="F40" s="8" t="s">
        <v>8</v>
      </c>
      <c r="G40" s="7"/>
    </row>
    <row r="41" spans="1:9" x14ac:dyDescent="0.2">
      <c r="B41" s="9" t="s">
        <v>1</v>
      </c>
      <c r="C41" s="9" t="s">
        <v>2</v>
      </c>
      <c r="D41" s="9" t="s">
        <v>1</v>
      </c>
      <c r="E41" s="9" t="s">
        <v>2</v>
      </c>
      <c r="F41" s="9" t="s">
        <v>1</v>
      </c>
      <c r="G41" s="9" t="s">
        <v>9</v>
      </c>
    </row>
    <row r="42" spans="1:9" x14ac:dyDescent="0.2">
      <c r="B42" s="4"/>
      <c r="D42" s="83"/>
      <c r="E42" s="91"/>
      <c r="F42" s="83"/>
      <c r="G42" s="12"/>
    </row>
    <row r="43" spans="1:9" x14ac:dyDescent="0.2">
      <c r="A43" s="16" t="s">
        <v>3</v>
      </c>
      <c r="B43" s="83">
        <v>208300</v>
      </c>
      <c r="C43" s="5">
        <v>1</v>
      </c>
      <c r="D43" s="83">
        <v>208400</v>
      </c>
      <c r="E43" s="5">
        <v>1</v>
      </c>
      <c r="F43" s="83">
        <v>100</v>
      </c>
      <c r="G43" s="5">
        <v>4.8007681228996637E-4</v>
      </c>
      <c r="I43" s="1"/>
    </row>
    <row r="44" spans="1:9" x14ac:dyDescent="0.2">
      <c r="A44" s="16" t="s">
        <v>4</v>
      </c>
      <c r="B44" s="83">
        <v>166223</v>
      </c>
      <c r="C44" s="5">
        <v>0.79800000000000004</v>
      </c>
      <c r="D44" s="83">
        <v>165470</v>
      </c>
      <c r="E44" s="5">
        <v>0.79400000000000004</v>
      </c>
      <c r="F44" s="83">
        <v>-753</v>
      </c>
      <c r="G44" s="5">
        <v>-4.5300590171035299E-3</v>
      </c>
    </row>
    <row r="45" spans="1:9" x14ac:dyDescent="0.2">
      <c r="A45" s="16" t="s">
        <v>5</v>
      </c>
      <c r="B45" s="83">
        <v>49795</v>
      </c>
      <c r="C45" s="5">
        <v>0.2390553023003878</v>
      </c>
      <c r="D45" s="83">
        <v>49819</v>
      </c>
      <c r="E45" s="5">
        <v>0.23905609247224155</v>
      </c>
      <c r="F45" s="83">
        <v>24</v>
      </c>
      <c r="G45" s="5">
        <v>4.8197610201827491E-4</v>
      </c>
    </row>
    <row r="46" spans="1:9" x14ac:dyDescent="0.2">
      <c r="B46" s="83"/>
      <c r="D46" s="83"/>
      <c r="F46" s="83"/>
    </row>
    <row r="47" spans="1:9" x14ac:dyDescent="0.2">
      <c r="A47" s="16" t="s">
        <v>104</v>
      </c>
      <c r="B47" s="109">
        <v>-7718</v>
      </c>
      <c r="C47" s="108">
        <v>-3.7052328372539606E-2</v>
      </c>
      <c r="D47" s="83">
        <v>-6889</v>
      </c>
      <c r="E47" s="5">
        <v>-3.3056621880998081E-2</v>
      </c>
      <c r="F47" s="83">
        <v>829</v>
      </c>
      <c r="G47" s="5">
        <v>-0.10741124643690075</v>
      </c>
    </row>
    <row r="48" spans="1:9" x14ac:dyDescent="0.2">
      <c r="D48" s="12"/>
      <c r="H48" s="16"/>
    </row>
    <row r="49" spans="1:8" x14ac:dyDescent="0.2">
      <c r="A49" s="140" t="s">
        <v>145</v>
      </c>
      <c r="B49" s="140"/>
      <c r="C49" s="140"/>
      <c r="D49" s="140"/>
      <c r="E49" s="140"/>
      <c r="F49" s="140"/>
      <c r="G49" s="140"/>
      <c r="H49" s="140"/>
    </row>
    <row r="51" spans="1:8" x14ac:dyDescent="0.2">
      <c r="B51" s="8" t="s">
        <v>6</v>
      </c>
      <c r="C51" s="7"/>
      <c r="D51" s="8" t="s">
        <v>7</v>
      </c>
      <c r="E51" s="7"/>
      <c r="F51" s="8" t="s">
        <v>8</v>
      </c>
      <c r="G51" s="7"/>
    </row>
    <row r="52" spans="1:8" x14ac:dyDescent="0.2">
      <c r="B52" s="9" t="s">
        <v>1</v>
      </c>
      <c r="C52" s="9" t="s">
        <v>2</v>
      </c>
      <c r="D52" s="9" t="s">
        <v>1</v>
      </c>
      <c r="E52" s="9" t="s">
        <v>2</v>
      </c>
      <c r="F52" s="9" t="s">
        <v>1</v>
      </c>
      <c r="G52" s="9" t="s">
        <v>9</v>
      </c>
    </row>
    <row r="53" spans="1:8" x14ac:dyDescent="0.2">
      <c r="B53" s="4"/>
      <c r="D53" s="83"/>
      <c r="E53" s="91"/>
      <c r="F53" s="83"/>
      <c r="G53" s="12"/>
    </row>
    <row r="54" spans="1:8" x14ac:dyDescent="0.2">
      <c r="A54" s="16" t="s">
        <v>3</v>
      </c>
      <c r="B54" s="83">
        <v>186400</v>
      </c>
      <c r="C54" s="5">
        <v>1</v>
      </c>
      <c r="D54" s="83">
        <v>186300</v>
      </c>
      <c r="E54" s="5">
        <v>1</v>
      </c>
      <c r="F54" s="83">
        <v>-100</v>
      </c>
      <c r="G54" s="5">
        <v>-5.3648068669527897E-4</v>
      </c>
    </row>
    <row r="55" spans="1:8" x14ac:dyDescent="0.2">
      <c r="A55" s="16" t="s">
        <v>4</v>
      </c>
      <c r="B55" s="83">
        <v>166828</v>
      </c>
      <c r="C55" s="5">
        <v>0.89500000000000002</v>
      </c>
      <c r="D55" s="83">
        <v>164876</v>
      </c>
      <c r="E55" s="5">
        <v>0.88500000000000001</v>
      </c>
      <c r="F55" s="83">
        <v>-1952</v>
      </c>
      <c r="G55" s="5">
        <v>-1.1700673747812118E-2</v>
      </c>
    </row>
    <row r="56" spans="1:8" x14ac:dyDescent="0.2">
      <c r="A56" s="16" t="s">
        <v>5</v>
      </c>
      <c r="B56" s="83">
        <v>44055.326797911672</v>
      </c>
      <c r="C56" s="5">
        <v>0.23634831973128578</v>
      </c>
      <c r="D56" s="83">
        <v>44031.128116514439</v>
      </c>
      <c r="E56" s="5">
        <v>0.23634529316432873</v>
      </c>
      <c r="F56" s="83">
        <v>-24.198681397232576</v>
      </c>
      <c r="G56" s="5">
        <v>-5.4927935294261964E-4</v>
      </c>
    </row>
    <row r="57" spans="1:8" x14ac:dyDescent="0.2">
      <c r="B57" s="83"/>
      <c r="D57" s="83"/>
      <c r="E57" s="5"/>
      <c r="F57" s="83"/>
    </row>
    <row r="58" spans="1:8" x14ac:dyDescent="0.2">
      <c r="A58" s="16" t="s">
        <v>104</v>
      </c>
      <c r="B58" s="109">
        <v>-24483.326797911672</v>
      </c>
      <c r="C58" s="108">
        <v>-0.1313483197312858</v>
      </c>
      <c r="D58" s="83">
        <v>-22607.128116514439</v>
      </c>
      <c r="E58" s="5">
        <v>-0.12134797700759227</v>
      </c>
      <c r="F58" s="83">
        <v>1876.1986813972326</v>
      </c>
      <c r="G58" s="5">
        <v>-7.6631688858446498E-2</v>
      </c>
    </row>
    <row r="60" spans="1:8" x14ac:dyDescent="0.2">
      <c r="A60" s="139" t="s">
        <v>142</v>
      </c>
      <c r="B60" s="139"/>
      <c r="C60" s="139"/>
      <c r="D60" s="139"/>
      <c r="E60" s="139"/>
      <c r="F60" s="139"/>
      <c r="G60" s="139"/>
      <c r="H60" s="139"/>
    </row>
    <row r="61" spans="1:8" x14ac:dyDescent="0.2">
      <c r="A61" s="103"/>
      <c r="B61" s="103"/>
      <c r="C61" s="103"/>
      <c r="D61" s="103"/>
      <c r="E61" s="103"/>
      <c r="F61" s="103"/>
      <c r="G61" s="103"/>
      <c r="H61" s="103"/>
    </row>
    <row r="62" spans="1:8" x14ac:dyDescent="0.2">
      <c r="A62" s="103"/>
      <c r="B62" s="14" t="s">
        <v>6</v>
      </c>
      <c r="C62" s="15"/>
      <c r="D62" s="14" t="s">
        <v>7</v>
      </c>
      <c r="E62" s="15"/>
      <c r="F62" s="14" t="s">
        <v>8</v>
      </c>
      <c r="G62" s="15"/>
      <c r="H62" s="103"/>
    </row>
    <row r="63" spans="1:8" x14ac:dyDescent="0.2">
      <c r="A63" s="103"/>
      <c r="B63" s="130" t="s">
        <v>1</v>
      </c>
      <c r="C63" s="130" t="s">
        <v>2</v>
      </c>
      <c r="D63" s="130" t="s">
        <v>1</v>
      </c>
      <c r="E63" s="130" t="s">
        <v>2</v>
      </c>
      <c r="F63" s="130" t="s">
        <v>1</v>
      </c>
      <c r="G63" s="130" t="s">
        <v>9</v>
      </c>
      <c r="H63" s="103"/>
    </row>
    <row r="64" spans="1:8" x14ac:dyDescent="0.2">
      <c r="A64" s="103"/>
      <c r="B64" s="103"/>
      <c r="C64" s="103"/>
      <c r="D64" s="131"/>
      <c r="E64" s="103"/>
      <c r="F64" s="103"/>
      <c r="G64" s="103"/>
      <c r="H64" s="132"/>
    </row>
    <row r="65" spans="1:15" x14ac:dyDescent="0.2">
      <c r="A65" s="103" t="s">
        <v>3</v>
      </c>
      <c r="B65" s="109">
        <v>183370</v>
      </c>
      <c r="C65" s="108">
        <v>1</v>
      </c>
      <c r="D65" s="109">
        <v>183370</v>
      </c>
      <c r="E65" s="108">
        <v>1</v>
      </c>
      <c r="F65" s="83">
        <v>0</v>
      </c>
      <c r="G65" s="5">
        <v>0</v>
      </c>
      <c r="H65" s="132"/>
    </row>
    <row r="66" spans="1:15" x14ac:dyDescent="0.2">
      <c r="A66" s="103" t="s">
        <v>4</v>
      </c>
      <c r="B66" s="109">
        <v>121199</v>
      </c>
      <c r="C66" s="108">
        <v>0.66095326389267606</v>
      </c>
      <c r="D66" s="109">
        <v>120638</v>
      </c>
      <c r="E66" s="108">
        <v>0.65789387577030045</v>
      </c>
      <c r="F66" s="83">
        <v>-561</v>
      </c>
      <c r="G66" s="5">
        <v>-4.6287510623024943E-3</v>
      </c>
      <c r="H66" s="132"/>
      <c r="I66" s="98">
        <v>0.66200000000000003</v>
      </c>
    </row>
    <row r="67" spans="1:15" x14ac:dyDescent="0.2">
      <c r="A67" s="103" t="s">
        <v>5</v>
      </c>
      <c r="B67" s="133">
        <v>36437</v>
      </c>
      <c r="C67" s="108">
        <v>0.19870753122102852</v>
      </c>
      <c r="D67" s="133">
        <v>36437</v>
      </c>
      <c r="E67" s="108">
        <v>0.19870753122102852</v>
      </c>
      <c r="F67" s="83">
        <v>0</v>
      </c>
      <c r="G67" s="5">
        <v>0</v>
      </c>
      <c r="H67" s="132"/>
      <c r="I67" s="98">
        <v>0.6</v>
      </c>
    </row>
    <row r="68" spans="1:15" x14ac:dyDescent="0.2">
      <c r="A68" s="103"/>
      <c r="B68" s="133"/>
      <c r="C68" s="103"/>
      <c r="D68" s="133"/>
      <c r="E68" s="103"/>
      <c r="F68" s="83"/>
      <c r="H68" s="132"/>
      <c r="I68" s="98">
        <v>0.69199999999999995</v>
      </c>
    </row>
    <row r="69" spans="1:15" x14ac:dyDescent="0.2">
      <c r="A69" s="103" t="s">
        <v>104</v>
      </c>
      <c r="B69" s="109">
        <v>25734</v>
      </c>
      <c r="C69" s="108">
        <v>0.14033920488629548</v>
      </c>
      <c r="D69" s="109">
        <v>26295</v>
      </c>
      <c r="E69" s="108">
        <v>0.143398593008671</v>
      </c>
      <c r="F69" s="83">
        <v>561</v>
      </c>
      <c r="G69" s="5">
        <v>2.1799953369083701E-2</v>
      </c>
      <c r="H69" s="132"/>
      <c r="I69" s="98">
        <v>0.92500000000000004</v>
      </c>
    </row>
    <row r="70" spans="1:15" x14ac:dyDescent="0.2">
      <c r="A70" s="103"/>
      <c r="B70" s="103"/>
      <c r="C70" s="103"/>
      <c r="D70" s="131"/>
      <c r="E70" s="103"/>
      <c r="F70" s="103"/>
      <c r="G70" s="103"/>
      <c r="H70" s="132"/>
    </row>
    <row r="71" spans="1:15" x14ac:dyDescent="0.2">
      <c r="A71" s="103"/>
      <c r="B71" s="103"/>
      <c r="C71" s="103"/>
      <c r="D71" s="131"/>
      <c r="E71" s="103"/>
      <c r="F71" s="103"/>
      <c r="G71" s="103"/>
      <c r="H71" s="132"/>
    </row>
    <row r="72" spans="1:15" x14ac:dyDescent="0.2">
      <c r="A72" s="8" t="s">
        <v>123</v>
      </c>
      <c r="B72" s="10"/>
      <c r="C72" s="7"/>
      <c r="D72" s="7"/>
      <c r="E72" s="7"/>
      <c r="F72" s="7"/>
      <c r="G72" s="9" t="s">
        <v>84</v>
      </c>
      <c r="H72" s="11" t="s">
        <v>165</v>
      </c>
    </row>
    <row r="73" spans="1:15" x14ac:dyDescent="0.2">
      <c r="A73" s="8" t="s">
        <v>124</v>
      </c>
      <c r="B73" s="10"/>
      <c r="C73" s="7"/>
      <c r="D73" s="7"/>
      <c r="E73" s="7"/>
      <c r="F73" s="7"/>
      <c r="G73" s="12" t="s">
        <v>85</v>
      </c>
      <c r="H73" s="74">
        <v>3</v>
      </c>
    </row>
    <row r="74" spans="1:15" x14ac:dyDescent="0.2">
      <c r="G74" s="12" t="s">
        <v>86</v>
      </c>
      <c r="H74" s="6" t="s">
        <v>148</v>
      </c>
    </row>
    <row r="75" spans="1:15" x14ac:dyDescent="0.2">
      <c r="A75" s="139" t="s">
        <v>138</v>
      </c>
      <c r="B75" s="139"/>
      <c r="C75" s="139"/>
      <c r="D75" s="139"/>
      <c r="E75" s="139"/>
      <c r="F75" s="139"/>
      <c r="G75" s="139"/>
      <c r="H75" s="139"/>
    </row>
    <row r="76" spans="1:15" x14ac:dyDescent="0.2">
      <c r="A76" s="103"/>
      <c r="B76" s="103"/>
      <c r="C76" s="103"/>
      <c r="D76" s="103"/>
      <c r="E76" s="103"/>
      <c r="F76" s="103"/>
      <c r="G76" s="103"/>
      <c r="H76" s="103"/>
    </row>
    <row r="77" spans="1:15" x14ac:dyDescent="0.2">
      <c r="A77" s="103"/>
      <c r="B77" s="14" t="s">
        <v>6</v>
      </c>
      <c r="C77" s="15"/>
      <c r="D77" s="14" t="s">
        <v>7</v>
      </c>
      <c r="E77" s="15"/>
      <c r="F77" s="14" t="s">
        <v>8</v>
      </c>
      <c r="G77" s="15"/>
      <c r="H77" s="103"/>
    </row>
    <row r="78" spans="1:15" x14ac:dyDescent="0.2">
      <c r="A78" s="103"/>
      <c r="B78" s="130" t="s">
        <v>1</v>
      </c>
      <c r="C78" s="130" t="s">
        <v>2</v>
      </c>
      <c r="D78" s="130" t="s">
        <v>1</v>
      </c>
      <c r="E78" s="130" t="s">
        <v>2</v>
      </c>
      <c r="F78" s="130" t="s">
        <v>1</v>
      </c>
      <c r="G78" s="130" t="s">
        <v>9</v>
      </c>
      <c r="H78" s="103"/>
      <c r="I78" s="5">
        <v>0.79600039159899016</v>
      </c>
      <c r="J78" s="109">
        <v>101837.90210000001</v>
      </c>
      <c r="K78" s="109">
        <v>2014</v>
      </c>
    </row>
    <row r="79" spans="1:15" x14ac:dyDescent="0.2">
      <c r="A79" s="103"/>
      <c r="B79" s="103"/>
      <c r="C79" s="103"/>
      <c r="D79" s="131"/>
      <c r="E79" s="103"/>
      <c r="F79" s="103"/>
      <c r="G79" s="103"/>
      <c r="H79" s="132"/>
      <c r="I79" s="5">
        <v>0.85989534657518862</v>
      </c>
      <c r="J79" s="109">
        <v>130221.69138999999</v>
      </c>
      <c r="K79" s="109">
        <f>K78+1</f>
        <v>2015</v>
      </c>
    </row>
    <row r="80" spans="1:15" x14ac:dyDescent="0.2">
      <c r="A80" s="103" t="s">
        <v>3</v>
      </c>
      <c r="B80" s="109">
        <v>172644</v>
      </c>
      <c r="C80" s="108">
        <v>1</v>
      </c>
      <c r="D80" s="109">
        <v>172644</v>
      </c>
      <c r="E80" s="108">
        <v>1</v>
      </c>
      <c r="F80" s="83">
        <v>0</v>
      </c>
      <c r="G80" s="5">
        <v>0</v>
      </c>
      <c r="H80" s="132"/>
      <c r="I80" s="5">
        <v>0.98706835054776776</v>
      </c>
      <c r="J80" s="109">
        <v>166953.72787999999</v>
      </c>
      <c r="K80" s="109">
        <f t="shared" ref="K80:K87" si="0">K79+1</f>
        <v>2016</v>
      </c>
      <c r="L80" s="109">
        <f>D128</f>
        <v>165503</v>
      </c>
      <c r="M80" s="5">
        <f>E128</f>
        <v>0.97849131789453769</v>
      </c>
      <c r="N80" s="109">
        <f>L80-J80</f>
        <v>-1450.7278799999913</v>
      </c>
      <c r="O80" s="5">
        <f>M80-I80</f>
        <v>-8.5770326532300656E-3</v>
      </c>
    </row>
    <row r="81" spans="1:15" x14ac:dyDescent="0.2">
      <c r="A81" s="103" t="s">
        <v>4</v>
      </c>
      <c r="B81" s="109">
        <v>103624</v>
      </c>
      <c r="C81" s="108">
        <v>0.60021778920784963</v>
      </c>
      <c r="D81" s="109">
        <v>103000</v>
      </c>
      <c r="E81" s="108">
        <v>0.5966034151201316</v>
      </c>
      <c r="F81" s="83">
        <v>-624</v>
      </c>
      <c r="G81" s="5">
        <v>-6.02177101829692E-3</v>
      </c>
      <c r="H81" s="132"/>
      <c r="I81" s="5">
        <v>0.77687704496412746</v>
      </c>
      <c r="J81" s="109">
        <v>141849.97964000003</v>
      </c>
      <c r="K81" s="109">
        <f t="shared" si="0"/>
        <v>2017</v>
      </c>
      <c r="L81" s="109">
        <f>D114</f>
        <v>142235</v>
      </c>
      <c r="M81" s="5">
        <f>E114</f>
        <v>0.77898143939186493</v>
      </c>
      <c r="N81" s="109">
        <f>L81-J81</f>
        <v>385.02035999996588</v>
      </c>
      <c r="O81" s="5">
        <f>M81-I81</f>
        <v>2.104394427737466E-3</v>
      </c>
    </row>
    <row r="82" spans="1:15" x14ac:dyDescent="0.2">
      <c r="A82" s="103" t="s">
        <v>5</v>
      </c>
      <c r="B82" s="133">
        <v>37120</v>
      </c>
      <c r="C82" s="108">
        <v>0.21500892008989597</v>
      </c>
      <c r="D82" s="133">
        <v>37120</v>
      </c>
      <c r="E82" s="108">
        <v>0.21500892008989597</v>
      </c>
      <c r="F82" s="83">
        <v>0</v>
      </c>
      <c r="G82" s="5">
        <v>0</v>
      </c>
      <c r="H82" s="132"/>
      <c r="I82" s="5">
        <v>0.90947449626960886</v>
      </c>
      <c r="J82" s="109">
        <v>178218.80334000001</v>
      </c>
      <c r="K82" s="109">
        <f t="shared" si="0"/>
        <v>2018</v>
      </c>
      <c r="L82" s="109">
        <f>D103</f>
        <v>181915</v>
      </c>
      <c r="M82" s="5">
        <f>E103</f>
        <v>0.92833668439155326</v>
      </c>
      <c r="N82" s="109">
        <f>L82-J82</f>
        <v>3696.1966599999869</v>
      </c>
      <c r="O82" s="5">
        <f>M82-I82</f>
        <v>1.8862188121944401E-2</v>
      </c>
    </row>
    <row r="83" spans="1:15" x14ac:dyDescent="0.2">
      <c r="A83" s="103"/>
      <c r="B83" s="133"/>
      <c r="C83" s="103"/>
      <c r="D83" s="133"/>
      <c r="E83" s="103"/>
      <c r="F83" s="83"/>
      <c r="H83" s="132"/>
      <c r="I83" s="5">
        <v>0.70625099036177508</v>
      </c>
      <c r="J83" s="109">
        <v>134388.26345</v>
      </c>
      <c r="K83" s="109">
        <f t="shared" si="0"/>
        <v>2019</v>
      </c>
      <c r="L83" s="109">
        <f>D92</f>
        <v>130752</v>
      </c>
      <c r="M83" s="5">
        <f>E92</f>
        <v>0.68714132559752794</v>
      </c>
      <c r="N83" s="109">
        <f>L83-J83</f>
        <v>-3636.2634499999986</v>
      </c>
      <c r="O83" s="5">
        <f>M83-I83</f>
        <v>-1.9109664764247136E-2</v>
      </c>
    </row>
    <row r="84" spans="1:15" x14ac:dyDescent="0.2">
      <c r="A84" s="103" t="s">
        <v>104</v>
      </c>
      <c r="B84" s="109">
        <v>31900</v>
      </c>
      <c r="C84" s="108">
        <v>0.18477329070225434</v>
      </c>
      <c r="D84" s="109">
        <v>32524</v>
      </c>
      <c r="E84" s="108">
        <v>0.18838766478997243</v>
      </c>
      <c r="F84" s="83">
        <v>624</v>
      </c>
      <c r="G84" s="5">
        <v>1.9561128526645769E-2</v>
      </c>
      <c r="H84" s="132"/>
      <c r="I84" s="5">
        <v>0.60799606978603116</v>
      </c>
      <c r="J84" s="109">
        <v>104965.65747999999</v>
      </c>
      <c r="K84" s="109">
        <f t="shared" si="0"/>
        <v>2020</v>
      </c>
      <c r="L84" s="109">
        <f>D81</f>
        <v>103000</v>
      </c>
      <c r="M84" s="5">
        <f>E81</f>
        <v>0.5966034151201316</v>
      </c>
      <c r="N84" s="109">
        <f>L84-J84</f>
        <v>-1965.6574799999944</v>
      </c>
      <c r="O84" s="5">
        <f>M84-I84</f>
        <v>-1.139265466589956E-2</v>
      </c>
    </row>
    <row r="85" spans="1:15" x14ac:dyDescent="0.2">
      <c r="A85" s="103"/>
      <c r="B85" s="103"/>
      <c r="C85" s="103"/>
      <c r="D85" s="131"/>
      <c r="E85" s="103"/>
      <c r="F85" s="103"/>
      <c r="G85" s="103"/>
      <c r="H85" s="132"/>
      <c r="I85" s="5">
        <v>0.67503372960385666</v>
      </c>
      <c r="J85" s="109">
        <v>123779.58493</v>
      </c>
      <c r="K85" s="109">
        <f t="shared" si="0"/>
        <v>2021</v>
      </c>
      <c r="L85" s="109"/>
    </row>
    <row r="86" spans="1:15" x14ac:dyDescent="0.2">
      <c r="A86" s="139" t="s">
        <v>136</v>
      </c>
      <c r="B86" s="139"/>
      <c r="C86" s="139"/>
      <c r="D86" s="139"/>
      <c r="E86" s="139"/>
      <c r="F86" s="139"/>
      <c r="G86" s="139"/>
      <c r="H86" s="139"/>
      <c r="I86" s="5">
        <v>0.85618867772708429</v>
      </c>
      <c r="J86" s="109">
        <v>154820.31765000001</v>
      </c>
      <c r="K86" s="109">
        <f t="shared" si="0"/>
        <v>2022</v>
      </c>
      <c r="L86" s="109"/>
    </row>
    <row r="87" spans="1:15" x14ac:dyDescent="0.2">
      <c r="A87" s="103"/>
      <c r="B87" s="103"/>
      <c r="C87" s="103"/>
      <c r="D87" s="103"/>
      <c r="E87" s="103"/>
      <c r="F87" s="103"/>
      <c r="G87" s="103"/>
      <c r="H87" s="103"/>
      <c r="I87" s="5">
        <v>0.79320788470627945</v>
      </c>
      <c r="J87" s="109">
        <v>46989.635089999996</v>
      </c>
      <c r="K87" s="109">
        <f t="shared" si="0"/>
        <v>2023</v>
      </c>
      <c r="L87" s="109"/>
    </row>
    <row r="88" spans="1:15" x14ac:dyDescent="0.2">
      <c r="A88" s="103"/>
      <c r="B88" s="14" t="s">
        <v>6</v>
      </c>
      <c r="C88" s="15"/>
      <c r="D88" s="14" t="s">
        <v>7</v>
      </c>
      <c r="E88" s="15"/>
      <c r="F88" s="14" t="s">
        <v>8</v>
      </c>
      <c r="G88" s="15"/>
      <c r="H88" s="103"/>
    </row>
    <row r="89" spans="1:15" x14ac:dyDescent="0.2">
      <c r="A89" s="103"/>
      <c r="B89" s="130" t="s">
        <v>1</v>
      </c>
      <c r="C89" s="130" t="s">
        <v>2</v>
      </c>
      <c r="D89" s="130" t="s">
        <v>1</v>
      </c>
      <c r="E89" s="130" t="s">
        <v>2</v>
      </c>
      <c r="F89" s="130" t="s">
        <v>1</v>
      </c>
      <c r="G89" s="130" t="s">
        <v>9</v>
      </c>
      <c r="H89" s="103"/>
    </row>
    <row r="90" spans="1:15" x14ac:dyDescent="0.2">
      <c r="A90" s="103"/>
      <c r="B90" s="133"/>
      <c r="C90" s="103"/>
      <c r="D90" s="109"/>
      <c r="E90" s="134"/>
      <c r="F90" s="109"/>
      <c r="G90" s="131"/>
      <c r="H90" s="103"/>
    </row>
    <row r="91" spans="1:15" x14ac:dyDescent="0.2">
      <c r="A91" s="132" t="s">
        <v>3</v>
      </c>
      <c r="B91" s="109">
        <v>190284</v>
      </c>
      <c r="C91" s="108">
        <v>1</v>
      </c>
      <c r="D91" s="109">
        <v>190284</v>
      </c>
      <c r="E91" s="108">
        <v>1</v>
      </c>
      <c r="F91" s="83">
        <v>0</v>
      </c>
      <c r="G91" s="5">
        <v>0</v>
      </c>
      <c r="H91" s="103"/>
    </row>
    <row r="92" spans="1:15" x14ac:dyDescent="0.2">
      <c r="A92" s="132" t="s">
        <v>4</v>
      </c>
      <c r="B92" s="109">
        <v>132007</v>
      </c>
      <c r="C92" s="108">
        <v>0.6937367303609342</v>
      </c>
      <c r="D92" s="109">
        <v>130752</v>
      </c>
      <c r="E92" s="108">
        <v>0.68714132559752794</v>
      </c>
      <c r="F92" s="83">
        <v>-1255</v>
      </c>
      <c r="G92" s="5">
        <v>-9.5070715946881604E-3</v>
      </c>
      <c r="H92" s="103"/>
    </row>
    <row r="93" spans="1:15" x14ac:dyDescent="0.2">
      <c r="A93" s="132" t="s">
        <v>5</v>
      </c>
      <c r="B93" s="133">
        <v>41379</v>
      </c>
      <c r="C93" s="108">
        <v>0.2174591662987955</v>
      </c>
      <c r="D93" s="133">
        <v>41379</v>
      </c>
      <c r="E93" s="108">
        <v>0.2174591662987955</v>
      </c>
      <c r="F93" s="83">
        <v>0</v>
      </c>
      <c r="G93" s="5">
        <v>0</v>
      </c>
      <c r="H93" s="103"/>
    </row>
    <row r="94" spans="1:15" x14ac:dyDescent="0.2">
      <c r="A94" s="103"/>
      <c r="B94" s="133"/>
      <c r="C94" s="103"/>
      <c r="D94" s="133"/>
      <c r="E94" s="103"/>
      <c r="F94" s="83"/>
      <c r="H94" s="103"/>
    </row>
    <row r="95" spans="1:15" x14ac:dyDescent="0.2">
      <c r="A95" s="132" t="s">
        <v>104</v>
      </c>
      <c r="B95" s="109">
        <v>16898</v>
      </c>
      <c r="C95" s="108">
        <v>8.8804103340270335E-2</v>
      </c>
      <c r="D95" s="109">
        <v>18153</v>
      </c>
      <c r="E95" s="108">
        <v>9.5399508103676603E-2</v>
      </c>
      <c r="F95" s="83">
        <v>1255</v>
      </c>
      <c r="G95" s="5">
        <v>7.4269144277429283E-2</v>
      </c>
      <c r="H95" s="103"/>
    </row>
    <row r="96" spans="1:15" x14ac:dyDescent="0.2">
      <c r="A96" s="103"/>
      <c r="B96" s="103"/>
      <c r="C96" s="103"/>
      <c r="D96" s="131"/>
      <c r="E96" s="103"/>
      <c r="F96" s="103"/>
      <c r="G96" s="103"/>
      <c r="H96" s="132"/>
    </row>
    <row r="97" spans="1:8" x14ac:dyDescent="0.2">
      <c r="A97" s="139" t="s">
        <v>132</v>
      </c>
      <c r="B97" s="139"/>
      <c r="C97" s="139"/>
      <c r="D97" s="139"/>
      <c r="E97" s="139"/>
      <c r="F97" s="139"/>
      <c r="G97" s="139"/>
      <c r="H97" s="139"/>
    </row>
    <row r="98" spans="1:8" x14ac:dyDescent="0.2">
      <c r="A98" s="103"/>
      <c r="B98" s="103"/>
      <c r="C98" s="103"/>
      <c r="D98" s="103"/>
      <c r="E98" s="103"/>
      <c r="F98" s="103"/>
      <c r="G98" s="103"/>
      <c r="H98" s="103"/>
    </row>
    <row r="99" spans="1:8" x14ac:dyDescent="0.2">
      <c r="A99" s="103"/>
      <c r="B99" s="14" t="s">
        <v>6</v>
      </c>
      <c r="C99" s="15"/>
      <c r="D99" s="14" t="s">
        <v>7</v>
      </c>
      <c r="E99" s="15"/>
      <c r="F99" s="14" t="s">
        <v>8</v>
      </c>
      <c r="G99" s="15"/>
      <c r="H99" s="103"/>
    </row>
    <row r="100" spans="1:8" x14ac:dyDescent="0.2">
      <c r="A100" s="103"/>
      <c r="B100" s="130" t="s">
        <v>1</v>
      </c>
      <c r="C100" s="130" t="s">
        <v>2</v>
      </c>
      <c r="D100" s="130" t="s">
        <v>1</v>
      </c>
      <c r="E100" s="130" t="s">
        <v>2</v>
      </c>
      <c r="F100" s="130" t="s">
        <v>1</v>
      </c>
      <c r="G100" s="130" t="s">
        <v>9</v>
      </c>
      <c r="H100" s="103"/>
    </row>
    <row r="101" spans="1:8" x14ac:dyDescent="0.2">
      <c r="A101" s="103"/>
      <c r="B101" s="133"/>
      <c r="C101" s="103"/>
      <c r="D101" s="109"/>
      <c r="E101" s="134"/>
      <c r="F101" s="109"/>
      <c r="G101" s="131"/>
      <c r="H101" s="103"/>
    </row>
    <row r="102" spans="1:8" x14ac:dyDescent="0.2">
      <c r="A102" s="132" t="s">
        <v>3</v>
      </c>
      <c r="B102" s="109">
        <v>195958</v>
      </c>
      <c r="C102" s="108">
        <v>1</v>
      </c>
      <c r="D102" s="109">
        <v>195958</v>
      </c>
      <c r="E102" s="108">
        <v>1</v>
      </c>
      <c r="F102" s="83">
        <v>0</v>
      </c>
      <c r="G102" s="5">
        <v>0</v>
      </c>
      <c r="H102" s="103"/>
    </row>
    <row r="103" spans="1:8" x14ac:dyDescent="0.2">
      <c r="A103" s="132" t="s">
        <v>4</v>
      </c>
      <c r="B103" s="109">
        <v>180766</v>
      </c>
      <c r="C103" s="108">
        <v>0.92247318302901637</v>
      </c>
      <c r="D103" s="109">
        <v>181915</v>
      </c>
      <c r="E103" s="108">
        <v>0.92833668439155326</v>
      </c>
      <c r="F103" s="83">
        <v>1149</v>
      </c>
      <c r="G103" s="5">
        <v>6.3562838144341303E-3</v>
      </c>
      <c r="H103" s="103"/>
    </row>
    <row r="104" spans="1:8" x14ac:dyDescent="0.2">
      <c r="A104" s="132" t="s">
        <v>5</v>
      </c>
      <c r="B104" s="133">
        <v>45927</v>
      </c>
      <c r="C104" s="108">
        <v>0.23437165106808602</v>
      </c>
      <c r="D104" s="133">
        <v>45927</v>
      </c>
      <c r="E104" s="108">
        <v>0.23437165106808602</v>
      </c>
      <c r="F104" s="83">
        <v>0</v>
      </c>
      <c r="G104" s="5">
        <v>0</v>
      </c>
      <c r="H104" s="103"/>
    </row>
    <row r="105" spans="1:8" x14ac:dyDescent="0.2">
      <c r="A105" s="103"/>
      <c r="B105" s="133"/>
      <c r="C105" s="103"/>
      <c r="D105" s="133"/>
      <c r="E105" s="103"/>
      <c r="F105" s="83"/>
      <c r="H105" s="103"/>
    </row>
    <row r="106" spans="1:8" x14ac:dyDescent="0.2">
      <c r="A106" s="132" t="s">
        <v>104</v>
      </c>
      <c r="B106" s="109">
        <v>-30735</v>
      </c>
      <c r="C106" s="108">
        <v>-0.15684483409710245</v>
      </c>
      <c r="D106" s="109">
        <v>-31884</v>
      </c>
      <c r="E106" s="108">
        <v>-0.16270833545963931</v>
      </c>
      <c r="F106" s="83">
        <v>-1149</v>
      </c>
      <c r="G106" s="5">
        <v>3.738408979990239E-2</v>
      </c>
      <c r="H106" s="103"/>
    </row>
    <row r="107" spans="1:8" x14ac:dyDescent="0.2">
      <c r="A107" s="132"/>
      <c r="B107" s="109"/>
      <c r="C107" s="108"/>
      <c r="D107" s="109"/>
      <c r="E107" s="108"/>
      <c r="F107" s="83"/>
      <c r="G107" s="5"/>
      <c r="H107" s="103"/>
    </row>
    <row r="108" spans="1:8" x14ac:dyDescent="0.2">
      <c r="A108" s="139" t="s">
        <v>159</v>
      </c>
      <c r="B108" s="139"/>
      <c r="C108" s="139"/>
      <c r="D108" s="139"/>
      <c r="E108" s="139"/>
      <c r="F108" s="139"/>
      <c r="G108" s="139"/>
      <c r="H108" s="139"/>
    </row>
    <row r="109" spans="1:8" x14ac:dyDescent="0.2">
      <c r="A109" s="103"/>
      <c r="B109" s="103"/>
      <c r="C109" s="103"/>
      <c r="D109" s="103"/>
      <c r="E109" s="103"/>
      <c r="F109" s="103"/>
      <c r="G109" s="103"/>
      <c r="H109" s="103"/>
    </row>
    <row r="110" spans="1:8" x14ac:dyDescent="0.2">
      <c r="A110" s="103"/>
      <c r="B110" s="14" t="s">
        <v>6</v>
      </c>
      <c r="C110" s="15"/>
      <c r="D110" s="14" t="s">
        <v>7</v>
      </c>
      <c r="E110" s="15"/>
      <c r="F110" s="14" t="s">
        <v>8</v>
      </c>
      <c r="G110" s="15"/>
      <c r="H110" s="103"/>
    </row>
    <row r="111" spans="1:8" x14ac:dyDescent="0.2">
      <c r="A111" s="103"/>
      <c r="B111" s="130" t="s">
        <v>1</v>
      </c>
      <c r="C111" s="130" t="s">
        <v>2</v>
      </c>
      <c r="D111" s="130" t="s">
        <v>1</v>
      </c>
      <c r="E111" s="130" t="s">
        <v>2</v>
      </c>
      <c r="F111" s="130" t="s">
        <v>1</v>
      </c>
      <c r="G111" s="130" t="s">
        <v>9</v>
      </c>
      <c r="H111" s="103"/>
    </row>
    <row r="112" spans="1:8" x14ac:dyDescent="0.2">
      <c r="A112" s="103"/>
      <c r="B112" s="133"/>
      <c r="C112" s="103"/>
      <c r="D112" s="109"/>
      <c r="E112" s="134"/>
      <c r="F112" s="109"/>
      <c r="G112" s="131"/>
      <c r="H112" s="103"/>
    </row>
    <row r="113" spans="1:8" x14ac:dyDescent="0.2">
      <c r="A113" s="132" t="s">
        <v>3</v>
      </c>
      <c r="B113" s="109">
        <v>182591</v>
      </c>
      <c r="C113" s="108">
        <v>1</v>
      </c>
      <c r="D113" s="109">
        <v>182591</v>
      </c>
      <c r="E113" s="108">
        <v>1</v>
      </c>
      <c r="F113" s="109">
        <v>0</v>
      </c>
      <c r="G113" s="108">
        <v>0</v>
      </c>
      <c r="H113" s="103"/>
    </row>
    <row r="114" spans="1:8" x14ac:dyDescent="0.2">
      <c r="A114" s="132" t="s">
        <v>4</v>
      </c>
      <c r="B114" s="109">
        <v>142252</v>
      </c>
      <c r="C114" s="108">
        <v>0.7790745436522063</v>
      </c>
      <c r="D114" s="109">
        <v>142235</v>
      </c>
      <c r="E114" s="108">
        <v>0.77898143939186493</v>
      </c>
      <c r="F114" s="109">
        <v>-17</v>
      </c>
      <c r="G114" s="108">
        <v>-1.1950622838343222E-4</v>
      </c>
      <c r="H114" s="103"/>
    </row>
    <row r="115" spans="1:8" x14ac:dyDescent="0.2">
      <c r="A115" s="132" t="s">
        <v>5</v>
      </c>
      <c r="B115" s="133">
        <v>45686</v>
      </c>
      <c r="C115" s="108">
        <v>0.25020948458576819</v>
      </c>
      <c r="D115" s="109">
        <v>45686</v>
      </c>
      <c r="E115" s="108">
        <v>0.25020948458576819</v>
      </c>
      <c r="F115" s="109">
        <v>0</v>
      </c>
      <c r="G115" s="108">
        <v>0</v>
      </c>
      <c r="H115" s="103"/>
    </row>
    <row r="116" spans="1:8" x14ac:dyDescent="0.2">
      <c r="A116" s="103"/>
      <c r="B116" s="133"/>
      <c r="C116" s="103"/>
      <c r="D116" s="133"/>
      <c r="E116" s="103"/>
      <c r="F116" s="109"/>
      <c r="G116" s="103"/>
      <c r="H116" s="103"/>
    </row>
    <row r="117" spans="1:8" x14ac:dyDescent="0.2">
      <c r="A117" s="132" t="s">
        <v>104</v>
      </c>
      <c r="B117" s="109">
        <v>-5347</v>
      </c>
      <c r="C117" s="108">
        <v>-2.9284028237974491E-2</v>
      </c>
      <c r="D117" s="109">
        <v>-5330</v>
      </c>
      <c r="E117" s="108">
        <v>-2.9190923977633072E-2</v>
      </c>
      <c r="F117" s="109">
        <v>17</v>
      </c>
      <c r="G117" s="108">
        <v>-3.1793529081728072E-3</v>
      </c>
      <c r="H117" s="103"/>
    </row>
    <row r="118" spans="1:8" x14ac:dyDescent="0.2">
      <c r="A118" s="103"/>
      <c r="B118" s="103"/>
      <c r="C118" s="103"/>
      <c r="D118" s="131"/>
      <c r="E118" s="103"/>
      <c r="F118" s="103"/>
      <c r="G118" s="103"/>
      <c r="H118" s="132"/>
    </row>
    <row r="119" spans="1:8" x14ac:dyDescent="0.2">
      <c r="A119" s="8" t="s">
        <v>123</v>
      </c>
      <c r="B119" s="10"/>
      <c r="C119" s="7"/>
      <c r="D119" s="7"/>
      <c r="E119" s="7"/>
      <c r="F119" s="7"/>
      <c r="G119" s="9" t="s">
        <v>84</v>
      </c>
      <c r="H119" s="11" t="s">
        <v>165</v>
      </c>
    </row>
    <row r="120" spans="1:8" x14ac:dyDescent="0.2">
      <c r="A120" s="8" t="s">
        <v>124</v>
      </c>
      <c r="B120" s="10"/>
      <c r="C120" s="7"/>
      <c r="D120" s="7"/>
      <c r="E120" s="7"/>
      <c r="F120" s="7"/>
      <c r="G120" s="12" t="s">
        <v>85</v>
      </c>
      <c r="H120" s="74">
        <v>3</v>
      </c>
    </row>
    <row r="121" spans="1:8" x14ac:dyDescent="0.2">
      <c r="G121" s="12" t="s">
        <v>86</v>
      </c>
      <c r="H121" s="6" t="s">
        <v>149</v>
      </c>
    </row>
    <row r="122" spans="1:8" x14ac:dyDescent="0.2">
      <c r="A122" s="139" t="s">
        <v>160</v>
      </c>
      <c r="B122" s="139"/>
      <c r="C122" s="139"/>
      <c r="D122" s="139"/>
      <c r="E122" s="139"/>
      <c r="F122" s="139"/>
      <c r="G122" s="139"/>
      <c r="H122" s="139"/>
    </row>
    <row r="123" spans="1:8" x14ac:dyDescent="0.2">
      <c r="A123" s="103"/>
      <c r="B123" s="103"/>
      <c r="C123" s="103"/>
      <c r="D123" s="103"/>
      <c r="E123" s="103"/>
      <c r="F123" s="103"/>
      <c r="G123" s="103"/>
      <c r="H123" s="103"/>
    </row>
    <row r="124" spans="1:8" x14ac:dyDescent="0.2">
      <c r="A124" s="103"/>
      <c r="B124" s="14" t="s">
        <v>6</v>
      </c>
      <c r="C124" s="15"/>
      <c r="D124" s="14" t="s">
        <v>7</v>
      </c>
      <c r="E124" s="15"/>
      <c r="F124" s="14" t="s">
        <v>8</v>
      </c>
      <c r="G124" s="15"/>
      <c r="H124" s="103"/>
    </row>
    <row r="125" spans="1:8" x14ac:dyDescent="0.2">
      <c r="A125" s="103"/>
      <c r="B125" s="130" t="s">
        <v>1</v>
      </c>
      <c r="C125" s="130" t="s">
        <v>2</v>
      </c>
      <c r="D125" s="130" t="s">
        <v>1</v>
      </c>
      <c r="E125" s="130" t="s">
        <v>2</v>
      </c>
      <c r="F125" s="130" t="s">
        <v>1</v>
      </c>
      <c r="G125" s="130" t="s">
        <v>9</v>
      </c>
      <c r="H125" s="103"/>
    </row>
    <row r="126" spans="1:8" x14ac:dyDescent="0.2">
      <c r="A126" s="103"/>
      <c r="B126" s="133"/>
      <c r="C126" s="103"/>
      <c r="D126" s="109"/>
      <c r="E126" s="134"/>
      <c r="F126" s="109"/>
      <c r="G126" s="131"/>
      <c r="H126" s="103"/>
    </row>
    <row r="127" spans="1:8" x14ac:dyDescent="0.2">
      <c r="A127" s="132" t="s">
        <v>3</v>
      </c>
      <c r="B127" s="109">
        <v>169141</v>
      </c>
      <c r="C127" s="108">
        <v>1</v>
      </c>
      <c r="D127" s="109">
        <v>169141</v>
      </c>
      <c r="E127" s="108">
        <v>1</v>
      </c>
      <c r="F127" s="109">
        <v>0</v>
      </c>
      <c r="G127" s="108">
        <v>0</v>
      </c>
      <c r="H127" s="103"/>
    </row>
    <row r="128" spans="1:8" x14ac:dyDescent="0.2">
      <c r="A128" s="132" t="s">
        <v>4</v>
      </c>
      <c r="B128" s="109">
        <v>165234</v>
      </c>
      <c r="C128" s="108">
        <v>0.97690092881087376</v>
      </c>
      <c r="D128" s="109">
        <v>165503</v>
      </c>
      <c r="E128" s="108">
        <v>0.97849131789453769</v>
      </c>
      <c r="F128" s="109">
        <v>269</v>
      </c>
      <c r="G128" s="108">
        <v>1.6279942384739218E-3</v>
      </c>
      <c r="H128" s="103"/>
    </row>
    <row r="129" spans="1:8" x14ac:dyDescent="0.2">
      <c r="A129" s="132" t="s">
        <v>5</v>
      </c>
      <c r="B129" s="109">
        <v>43287</v>
      </c>
      <c r="C129" s="108">
        <v>0.255922573474202</v>
      </c>
      <c r="D129" s="109">
        <v>43287</v>
      </c>
      <c r="E129" s="108">
        <v>0.255922573474202</v>
      </c>
      <c r="F129" s="109">
        <v>0</v>
      </c>
      <c r="G129" s="108">
        <v>0</v>
      </c>
      <c r="H129" s="103"/>
    </row>
    <row r="130" spans="1:8" x14ac:dyDescent="0.2">
      <c r="A130" s="103"/>
      <c r="B130" s="109"/>
      <c r="C130" s="103"/>
      <c r="D130" s="109"/>
      <c r="E130" s="103"/>
      <c r="F130" s="109"/>
      <c r="G130" s="103"/>
      <c r="H130" s="103"/>
    </row>
    <row r="131" spans="1:8" x14ac:dyDescent="0.2">
      <c r="A131" s="132" t="s">
        <v>104</v>
      </c>
      <c r="B131" s="109">
        <v>-39380</v>
      </c>
      <c r="C131" s="108">
        <v>-0.23282350228507576</v>
      </c>
      <c r="D131" s="109">
        <v>-39649</v>
      </c>
      <c r="E131" s="108">
        <v>-0.23441389136873969</v>
      </c>
      <c r="F131" s="109">
        <v>-269</v>
      </c>
      <c r="G131" s="108">
        <v>6.8308786185881159E-3</v>
      </c>
      <c r="H131" s="103"/>
    </row>
    <row r="132" spans="1:8" x14ac:dyDescent="0.2">
      <c r="A132" s="132"/>
      <c r="B132" s="109"/>
      <c r="C132" s="108"/>
      <c r="D132" s="109"/>
      <c r="E132" s="108"/>
      <c r="F132" s="109"/>
      <c r="G132" s="108"/>
      <c r="H132" s="103"/>
    </row>
    <row r="133" spans="1:8" x14ac:dyDescent="0.2">
      <c r="A133" s="139" t="s">
        <v>161</v>
      </c>
      <c r="B133" s="139"/>
      <c r="C133" s="139"/>
      <c r="D133" s="139"/>
      <c r="E133" s="139"/>
      <c r="F133" s="139"/>
      <c r="G133" s="139"/>
      <c r="H133" s="139"/>
    </row>
    <row r="134" spans="1:8" x14ac:dyDescent="0.2">
      <c r="A134" s="103"/>
      <c r="B134" s="103"/>
      <c r="C134" s="103"/>
      <c r="D134" s="103"/>
      <c r="E134" s="103"/>
      <c r="F134" s="103"/>
      <c r="G134" s="103"/>
      <c r="H134" s="103"/>
    </row>
    <row r="135" spans="1:8" x14ac:dyDescent="0.2">
      <c r="A135" s="103"/>
      <c r="B135" s="14" t="s">
        <v>6</v>
      </c>
      <c r="C135" s="15"/>
      <c r="D135" s="14" t="s">
        <v>7</v>
      </c>
      <c r="E135" s="15"/>
      <c r="F135" s="14" t="s">
        <v>8</v>
      </c>
      <c r="G135" s="15"/>
      <c r="H135" s="103"/>
    </row>
    <row r="136" spans="1:8" x14ac:dyDescent="0.2">
      <c r="A136" s="103"/>
      <c r="B136" s="130" t="s">
        <v>1</v>
      </c>
      <c r="C136" s="130" t="s">
        <v>2</v>
      </c>
      <c r="D136" s="130" t="s">
        <v>1</v>
      </c>
      <c r="E136" s="130" t="s">
        <v>2</v>
      </c>
      <c r="F136" s="130" t="s">
        <v>1</v>
      </c>
      <c r="G136" s="130" t="s">
        <v>9</v>
      </c>
      <c r="H136" s="103"/>
    </row>
    <row r="137" spans="1:8" x14ac:dyDescent="0.2">
      <c r="A137" s="103"/>
      <c r="B137" s="133"/>
      <c r="C137" s="103"/>
      <c r="D137" s="109"/>
      <c r="E137" s="134"/>
      <c r="F137" s="109"/>
      <c r="G137" s="131"/>
      <c r="H137" s="103"/>
    </row>
    <row r="138" spans="1:8" x14ac:dyDescent="0.2">
      <c r="A138" s="132" t="s">
        <v>3</v>
      </c>
      <c r="B138" s="109">
        <v>151439</v>
      </c>
      <c r="C138" s="108">
        <v>1</v>
      </c>
      <c r="D138" s="109">
        <v>151439</v>
      </c>
      <c r="E138" s="108">
        <v>1</v>
      </c>
      <c r="F138" s="109">
        <v>0</v>
      </c>
      <c r="G138" s="108">
        <v>0</v>
      </c>
      <c r="H138" s="103"/>
    </row>
    <row r="139" spans="1:8" x14ac:dyDescent="0.2">
      <c r="A139" s="132" t="s">
        <v>4</v>
      </c>
      <c r="B139" s="109">
        <v>130204</v>
      </c>
      <c r="C139" s="108">
        <v>0.85977852468650739</v>
      </c>
      <c r="D139" s="109">
        <v>130183</v>
      </c>
      <c r="E139" s="108">
        <v>0.8596398549911185</v>
      </c>
      <c r="F139" s="109">
        <v>-21</v>
      </c>
      <c r="G139" s="108">
        <v>-1.6128536757703296E-4</v>
      </c>
      <c r="H139" s="103"/>
    </row>
    <row r="140" spans="1:8" x14ac:dyDescent="0.2">
      <c r="A140" s="132" t="s">
        <v>5</v>
      </c>
      <c r="B140" s="109">
        <v>38778</v>
      </c>
      <c r="C140" s="108">
        <v>0.25606349751385044</v>
      </c>
      <c r="D140" s="109">
        <v>38778</v>
      </c>
      <c r="E140" s="108">
        <v>0.25606349751385044</v>
      </c>
      <c r="F140" s="109">
        <v>0</v>
      </c>
      <c r="G140" s="108">
        <v>0</v>
      </c>
      <c r="H140" s="103"/>
    </row>
    <row r="141" spans="1:8" x14ac:dyDescent="0.2">
      <c r="A141" s="103"/>
      <c r="B141" s="109"/>
      <c r="C141" s="103"/>
      <c r="D141" s="109"/>
      <c r="E141" s="103"/>
      <c r="F141" s="109"/>
      <c r="G141" s="103"/>
      <c r="H141" s="103"/>
    </row>
    <row r="142" spans="1:8" x14ac:dyDescent="0.2">
      <c r="A142" s="132" t="s">
        <v>104</v>
      </c>
      <c r="B142" s="109">
        <v>-17543</v>
      </c>
      <c r="C142" s="108">
        <v>-0.1158420222003579</v>
      </c>
      <c r="D142" s="109">
        <v>-17522</v>
      </c>
      <c r="E142" s="108">
        <v>-0.11570335250496899</v>
      </c>
      <c r="F142" s="109">
        <v>21</v>
      </c>
      <c r="G142" s="108">
        <v>-1.1970586558741377E-3</v>
      </c>
      <c r="H142" s="103"/>
    </row>
    <row r="143" spans="1:8" x14ac:dyDescent="0.2">
      <c r="D143" s="12"/>
    </row>
    <row r="144" spans="1:8" x14ac:dyDescent="0.2">
      <c r="D144" s="12"/>
    </row>
    <row r="145" spans="4:4" x14ac:dyDescent="0.2">
      <c r="D145" s="12"/>
    </row>
    <row r="146" spans="4:4" x14ac:dyDescent="0.2">
      <c r="D146" s="12"/>
    </row>
    <row r="147" spans="4:4" x14ac:dyDescent="0.2">
      <c r="D147" s="12"/>
    </row>
    <row r="148" spans="4:4" x14ac:dyDescent="0.2">
      <c r="D148" s="12"/>
    </row>
    <row r="149" spans="4:4" x14ac:dyDescent="0.2">
      <c r="D149" s="12"/>
    </row>
    <row r="150" spans="4:4" x14ac:dyDescent="0.2">
      <c r="D150" s="12"/>
    </row>
    <row r="151" spans="4:4" x14ac:dyDescent="0.2">
      <c r="D151" s="12"/>
    </row>
    <row r="152" spans="4:4" x14ac:dyDescent="0.2">
      <c r="D152" s="12"/>
    </row>
    <row r="153" spans="4:4" x14ac:dyDescent="0.2">
      <c r="D153" s="12"/>
    </row>
    <row r="154" spans="4:4" x14ac:dyDescent="0.2">
      <c r="D154" s="12"/>
    </row>
    <row r="155" spans="4:4" x14ac:dyDescent="0.2">
      <c r="D155" s="12"/>
    </row>
    <row r="156" spans="4:4" x14ac:dyDescent="0.2">
      <c r="D156" s="12"/>
    </row>
    <row r="157" spans="4:4" x14ac:dyDescent="0.2">
      <c r="D157" s="12"/>
    </row>
    <row r="158" spans="4:4" x14ac:dyDescent="0.2">
      <c r="D158" s="12"/>
    </row>
    <row r="159" spans="4:4" x14ac:dyDescent="0.2">
      <c r="D159" s="12"/>
    </row>
    <row r="160" spans="4:4" x14ac:dyDescent="0.2">
      <c r="D160" s="12"/>
    </row>
    <row r="161" spans="4:4" x14ac:dyDescent="0.2">
      <c r="D161" s="12"/>
    </row>
    <row r="162" spans="4:4" x14ac:dyDescent="0.2">
      <c r="D162" s="12"/>
    </row>
    <row r="163" spans="4:4" x14ac:dyDescent="0.2">
      <c r="D163" s="12"/>
    </row>
    <row r="164" spans="4:4" x14ac:dyDescent="0.2">
      <c r="D164" s="12"/>
    </row>
    <row r="165" spans="4:4" x14ac:dyDescent="0.2">
      <c r="D165" s="12"/>
    </row>
    <row r="166" spans="4:4" x14ac:dyDescent="0.2">
      <c r="D166" s="12"/>
    </row>
    <row r="167" spans="4:4" x14ac:dyDescent="0.2">
      <c r="D167" s="12"/>
    </row>
    <row r="168" spans="4:4" x14ac:dyDescent="0.2">
      <c r="D168" s="12"/>
    </row>
    <row r="169" spans="4:4" x14ac:dyDescent="0.2">
      <c r="D169" s="12"/>
    </row>
    <row r="170" spans="4:4" x14ac:dyDescent="0.2">
      <c r="D170" s="12"/>
    </row>
    <row r="171" spans="4:4" x14ac:dyDescent="0.2">
      <c r="D171" s="12"/>
    </row>
    <row r="172" spans="4:4" x14ac:dyDescent="0.2">
      <c r="D172" s="12"/>
    </row>
    <row r="173" spans="4:4" x14ac:dyDescent="0.2">
      <c r="D173" s="12"/>
    </row>
    <row r="174" spans="4:4" x14ac:dyDescent="0.2">
      <c r="D174" s="12"/>
    </row>
    <row r="175" spans="4:4" x14ac:dyDescent="0.2">
      <c r="D175" s="12"/>
    </row>
    <row r="176" spans="4:4" x14ac:dyDescent="0.2">
      <c r="D176" s="12"/>
    </row>
    <row r="177" spans="4:4" x14ac:dyDescent="0.2">
      <c r="D177" s="12"/>
    </row>
    <row r="178" spans="4:4" x14ac:dyDescent="0.2">
      <c r="D178" s="12"/>
    </row>
    <row r="179" spans="4:4" x14ac:dyDescent="0.2">
      <c r="D179" s="12"/>
    </row>
    <row r="180" spans="4:4" x14ac:dyDescent="0.2">
      <c r="D180" s="12"/>
    </row>
    <row r="181" spans="4:4" x14ac:dyDescent="0.2">
      <c r="D181" s="12"/>
    </row>
    <row r="182" spans="4:4" x14ac:dyDescent="0.2">
      <c r="D182" s="12"/>
    </row>
    <row r="183" spans="4:4" x14ac:dyDescent="0.2">
      <c r="D183" s="12"/>
    </row>
    <row r="184" spans="4:4" x14ac:dyDescent="0.2">
      <c r="D184" s="12"/>
    </row>
    <row r="185" spans="4:4" x14ac:dyDescent="0.2">
      <c r="D185" s="12"/>
    </row>
    <row r="186" spans="4:4" x14ac:dyDescent="0.2">
      <c r="D186" s="12"/>
    </row>
    <row r="187" spans="4:4" x14ac:dyDescent="0.2">
      <c r="D187" s="12"/>
    </row>
    <row r="188" spans="4:4" x14ac:dyDescent="0.2">
      <c r="D188" s="12"/>
    </row>
    <row r="189" spans="4:4" x14ac:dyDescent="0.2">
      <c r="D189" s="12"/>
    </row>
    <row r="190" spans="4:4" x14ac:dyDescent="0.2">
      <c r="D190" s="12"/>
    </row>
    <row r="191" spans="4:4" x14ac:dyDescent="0.2">
      <c r="D191" s="12"/>
    </row>
    <row r="192" spans="4:4" x14ac:dyDescent="0.2">
      <c r="D192" s="12"/>
    </row>
    <row r="193" spans="4:4" x14ac:dyDescent="0.2">
      <c r="D193" s="12"/>
    </row>
    <row r="194" spans="4:4" x14ac:dyDescent="0.2">
      <c r="D194" s="12"/>
    </row>
  </sheetData>
  <mergeCells count="11">
    <mergeCell ref="A133:H133"/>
    <mergeCell ref="A122:H122"/>
    <mergeCell ref="A5:H5"/>
    <mergeCell ref="A49:H49"/>
    <mergeCell ref="A38:H38"/>
    <mergeCell ref="A27:H27"/>
    <mergeCell ref="A108:H108"/>
    <mergeCell ref="A97:H97"/>
    <mergeCell ref="A86:H86"/>
    <mergeCell ref="A75:H75"/>
    <mergeCell ref="A60:H60"/>
  </mergeCells>
  <phoneticPr fontId="0" type="noConversion"/>
  <printOptions gridLinesSet="0"/>
  <pageMargins left="0.81" right="0" top="0.28999999999999998" bottom="0.25" header="0.25" footer="0.08"/>
  <pageSetup scale="76" orientation="landscape" horizontalDpi="360" verticalDpi="360" r:id="rId1"/>
  <headerFooter alignWithMargins="0"/>
  <rowBreaks count="3" manualBreakCount="3">
    <brk id="21" max="16383" man="1"/>
    <brk id="71" max="7" man="1"/>
    <brk id="118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13"/>
  <sheetViews>
    <sheetView topLeftCell="E147" workbookViewId="0">
      <selection activeCell="G163" sqref="G163"/>
    </sheetView>
  </sheetViews>
  <sheetFormatPr defaultRowHeight="12" x14ac:dyDescent="0.15"/>
  <cols>
    <col min="1" max="4" width="9" style="92" customWidth="1"/>
    <col min="5" max="5" width="11.875" style="93" bestFit="1" customWidth="1"/>
    <col min="6" max="6" width="9" style="94" customWidth="1"/>
    <col min="8" max="11" width="9" style="92" customWidth="1"/>
    <col min="12" max="12" width="11.875" style="93" bestFit="1" customWidth="1"/>
    <col min="14" max="17" width="9" style="92" customWidth="1"/>
    <col min="18" max="18" width="11.875" style="93" bestFit="1" customWidth="1"/>
  </cols>
  <sheetData>
    <row r="1" spans="1:18" x14ac:dyDescent="0.15">
      <c r="A1" s="92" t="s">
        <v>107</v>
      </c>
      <c r="B1" s="92" t="s">
        <v>108</v>
      </c>
      <c r="C1" s="92" t="s">
        <v>109</v>
      </c>
      <c r="D1" s="92" t="s">
        <v>110</v>
      </c>
      <c r="E1" s="93" t="s">
        <v>111</v>
      </c>
      <c r="H1" s="92" t="s">
        <v>107</v>
      </c>
      <c r="I1" s="92" t="s">
        <v>108</v>
      </c>
      <c r="J1" s="92" t="s">
        <v>109</v>
      </c>
      <c r="K1" s="92" t="s">
        <v>110</v>
      </c>
      <c r="L1" s="93" t="s">
        <v>111</v>
      </c>
      <c r="N1" s="92" t="s">
        <v>107</v>
      </c>
      <c r="O1" s="92" t="s">
        <v>108</v>
      </c>
      <c r="P1" s="92" t="s">
        <v>109</v>
      </c>
      <c r="Q1" s="92" t="s">
        <v>110</v>
      </c>
      <c r="R1" s="93" t="s">
        <v>121</v>
      </c>
    </row>
    <row r="2" spans="1:18" x14ac:dyDescent="0.15">
      <c r="A2" s="92" t="s">
        <v>112</v>
      </c>
      <c r="B2" s="92" t="s">
        <v>113</v>
      </c>
      <c r="C2" s="92" t="s">
        <v>112</v>
      </c>
      <c r="D2" s="92" t="s">
        <v>113</v>
      </c>
      <c r="E2" s="93">
        <v>46592.953000000001</v>
      </c>
      <c r="H2" s="92">
        <v>2007</v>
      </c>
      <c r="I2" s="92">
        <v>1</v>
      </c>
      <c r="J2" s="92">
        <v>2007</v>
      </c>
      <c r="K2" s="92">
        <v>1</v>
      </c>
      <c r="L2" s="93">
        <v>74622.960999999996</v>
      </c>
      <c r="N2" s="92">
        <v>2007</v>
      </c>
      <c r="O2" s="92">
        <v>1</v>
      </c>
      <c r="P2" s="92">
        <v>2007</v>
      </c>
      <c r="Q2" s="92">
        <v>1</v>
      </c>
      <c r="R2" s="93">
        <v>48137.333333333299</v>
      </c>
    </row>
    <row r="3" spans="1:18" x14ac:dyDescent="0.15">
      <c r="A3" s="92" t="s">
        <v>112</v>
      </c>
      <c r="B3" s="92" t="s">
        <v>113</v>
      </c>
      <c r="C3" s="92" t="s">
        <v>112</v>
      </c>
      <c r="D3" s="92" t="s">
        <v>114</v>
      </c>
      <c r="E3" s="93">
        <v>48057.544999999998</v>
      </c>
      <c r="H3" s="92">
        <v>2007</v>
      </c>
      <c r="I3" s="92">
        <v>1</v>
      </c>
      <c r="J3" s="92">
        <v>2007</v>
      </c>
      <c r="K3" s="92">
        <v>2</v>
      </c>
      <c r="L3" s="93">
        <v>72748.108999999997</v>
      </c>
      <c r="N3" s="92">
        <v>2007</v>
      </c>
      <c r="O3" s="92">
        <v>1</v>
      </c>
      <c r="P3" s="92">
        <v>2007</v>
      </c>
      <c r="Q3" s="92">
        <v>2</v>
      </c>
      <c r="R3" s="93">
        <v>47468.416666666599</v>
      </c>
    </row>
    <row r="4" spans="1:18" x14ac:dyDescent="0.15">
      <c r="A4" s="92" t="s">
        <v>112</v>
      </c>
      <c r="B4" s="92" t="s">
        <v>113</v>
      </c>
      <c r="C4" s="92" t="s">
        <v>112</v>
      </c>
      <c r="D4" s="92" t="s">
        <v>115</v>
      </c>
      <c r="E4" s="93">
        <v>47044.627999999997</v>
      </c>
      <c r="H4" s="92">
        <v>2007</v>
      </c>
      <c r="I4" s="92">
        <v>1</v>
      </c>
      <c r="J4" s="92">
        <v>2007</v>
      </c>
      <c r="K4" s="92">
        <v>3</v>
      </c>
      <c r="L4" s="93">
        <v>68564.557000000001</v>
      </c>
      <c r="N4" s="92">
        <v>2007</v>
      </c>
      <c r="O4" s="92">
        <v>1</v>
      </c>
      <c r="P4" s="92">
        <v>2007</v>
      </c>
      <c r="Q4" s="92">
        <v>3</v>
      </c>
      <c r="R4" s="93">
        <v>45053.666666666599</v>
      </c>
    </row>
    <row r="5" spans="1:18" x14ac:dyDescent="0.15">
      <c r="A5" s="92" t="s">
        <v>112</v>
      </c>
      <c r="B5" s="92" t="s">
        <v>113</v>
      </c>
      <c r="C5" s="92" t="s">
        <v>112</v>
      </c>
      <c r="D5" s="92" t="s">
        <v>116</v>
      </c>
      <c r="E5" s="93">
        <v>46357.483</v>
      </c>
      <c r="H5" s="92">
        <v>2007</v>
      </c>
      <c r="I5" s="92">
        <v>1</v>
      </c>
      <c r="J5" s="92">
        <v>2007</v>
      </c>
      <c r="K5" s="92">
        <v>4</v>
      </c>
      <c r="L5" s="93">
        <v>67401.313999999998</v>
      </c>
      <c r="N5" s="92">
        <v>2007</v>
      </c>
      <c r="O5" s="92">
        <v>1</v>
      </c>
      <c r="P5" s="92">
        <v>2007</v>
      </c>
      <c r="Q5" s="92">
        <v>4</v>
      </c>
      <c r="R5" s="93">
        <v>44405.583333333299</v>
      </c>
    </row>
    <row r="6" spans="1:18" x14ac:dyDescent="0.15">
      <c r="A6" s="92" t="s">
        <v>112</v>
      </c>
      <c r="B6" s="92" t="s">
        <v>113</v>
      </c>
      <c r="C6" s="92" t="s">
        <v>117</v>
      </c>
      <c r="D6" s="92" t="s">
        <v>113</v>
      </c>
      <c r="E6" s="93">
        <v>46097.815999999999</v>
      </c>
      <c r="H6" s="92">
        <v>2007</v>
      </c>
      <c r="I6" s="92">
        <v>1</v>
      </c>
      <c r="J6" s="92">
        <v>2008</v>
      </c>
      <c r="K6" s="92">
        <v>1</v>
      </c>
      <c r="L6" s="93">
        <v>67171.025999999998</v>
      </c>
      <c r="N6" s="92">
        <v>2007</v>
      </c>
      <c r="O6" s="92">
        <v>1</v>
      </c>
      <c r="P6" s="92">
        <v>2008</v>
      </c>
      <c r="Q6" s="92">
        <v>1</v>
      </c>
      <c r="R6" s="93">
        <v>44235.416666666599</v>
      </c>
    </row>
    <row r="7" spans="1:18" x14ac:dyDescent="0.15">
      <c r="A7" s="92" t="s">
        <v>112</v>
      </c>
      <c r="B7" s="92" t="s">
        <v>113</v>
      </c>
      <c r="C7" s="92" t="s">
        <v>117</v>
      </c>
      <c r="D7" s="92" t="s">
        <v>114</v>
      </c>
      <c r="E7" s="93">
        <v>46056.188000000002</v>
      </c>
      <c r="H7" s="92">
        <v>2007</v>
      </c>
      <c r="I7" s="92">
        <v>1</v>
      </c>
      <c r="J7" s="92">
        <v>2008</v>
      </c>
      <c r="K7" s="92">
        <v>2</v>
      </c>
      <c r="L7" s="93">
        <v>67164.981</v>
      </c>
      <c r="N7" s="92">
        <v>2007</v>
      </c>
      <c r="O7" s="92">
        <v>1</v>
      </c>
      <c r="P7" s="92">
        <v>2008</v>
      </c>
      <c r="Q7" s="92">
        <v>2</v>
      </c>
      <c r="R7" s="93">
        <v>44233.666666666599</v>
      </c>
    </row>
    <row r="8" spans="1:18" x14ac:dyDescent="0.15">
      <c r="A8" s="92" t="s">
        <v>112</v>
      </c>
      <c r="B8" s="92" t="s">
        <v>113</v>
      </c>
      <c r="C8" s="92" t="s">
        <v>117</v>
      </c>
      <c r="D8" s="92" t="s">
        <v>115</v>
      </c>
      <c r="E8" s="93">
        <v>46057.341999999997</v>
      </c>
      <c r="H8" s="92">
        <v>2007</v>
      </c>
      <c r="I8" s="92">
        <v>1</v>
      </c>
      <c r="J8" s="92">
        <v>2008</v>
      </c>
      <c r="K8" s="92">
        <v>3</v>
      </c>
      <c r="L8" s="93">
        <v>67153.777000000002</v>
      </c>
      <c r="N8" s="92">
        <v>2007</v>
      </c>
      <c r="O8" s="92">
        <v>1</v>
      </c>
      <c r="P8" s="92">
        <v>2008</v>
      </c>
      <c r="Q8" s="92">
        <v>3</v>
      </c>
      <c r="R8" s="93">
        <v>44229.666666666599</v>
      </c>
    </row>
    <row r="9" spans="1:18" x14ac:dyDescent="0.15">
      <c r="A9" s="92" t="s">
        <v>112</v>
      </c>
      <c r="B9" s="92" t="s">
        <v>113</v>
      </c>
      <c r="C9" s="92" t="s">
        <v>117</v>
      </c>
      <c r="D9" s="92" t="s">
        <v>116</v>
      </c>
      <c r="E9" s="93">
        <v>46049.540999999997</v>
      </c>
      <c r="H9" s="92">
        <v>2007</v>
      </c>
      <c r="I9" s="92">
        <v>1</v>
      </c>
      <c r="J9" s="92">
        <v>2008</v>
      </c>
      <c r="K9" s="92">
        <v>4</v>
      </c>
      <c r="L9" s="93">
        <v>67151.758000000002</v>
      </c>
      <c r="N9" s="92">
        <v>2007</v>
      </c>
      <c r="O9" s="92">
        <v>1</v>
      </c>
      <c r="P9" s="92">
        <v>2008</v>
      </c>
      <c r="Q9" s="92">
        <v>4</v>
      </c>
      <c r="R9" s="93">
        <v>44234</v>
      </c>
    </row>
    <row r="10" spans="1:18" x14ac:dyDescent="0.15">
      <c r="A10" s="92" t="s">
        <v>112</v>
      </c>
      <c r="B10" s="92" t="s">
        <v>113</v>
      </c>
      <c r="C10" s="92" t="s">
        <v>118</v>
      </c>
      <c r="D10" s="92" t="s">
        <v>113</v>
      </c>
      <c r="E10" s="93">
        <v>46047.038999999997</v>
      </c>
      <c r="H10" s="92">
        <v>2007</v>
      </c>
      <c r="I10" s="92">
        <v>1</v>
      </c>
      <c r="J10" s="92">
        <v>2009</v>
      </c>
      <c r="K10" s="92">
        <v>1</v>
      </c>
      <c r="L10" s="93">
        <v>67140.414000000004</v>
      </c>
      <c r="N10" s="92">
        <v>2007</v>
      </c>
      <c r="O10" s="92">
        <v>1</v>
      </c>
      <c r="P10" s="92">
        <v>2009</v>
      </c>
      <c r="Q10" s="92">
        <v>1</v>
      </c>
      <c r="R10" s="93">
        <v>44225.416666666599</v>
      </c>
    </row>
    <row r="11" spans="1:18" x14ac:dyDescent="0.15">
      <c r="A11" s="92" t="s">
        <v>112</v>
      </c>
      <c r="B11" s="92" t="s">
        <v>113</v>
      </c>
      <c r="C11" s="92" t="s">
        <v>118</v>
      </c>
      <c r="D11" s="92" t="s">
        <v>114</v>
      </c>
      <c r="E11" s="93">
        <v>46046.576999999997</v>
      </c>
      <c r="H11" s="92">
        <v>2007</v>
      </c>
      <c r="I11" s="92">
        <v>1</v>
      </c>
      <c r="J11" s="92">
        <v>2009</v>
      </c>
      <c r="K11" s="92">
        <v>2</v>
      </c>
      <c r="L11" s="93">
        <v>67118.218999999997</v>
      </c>
      <c r="N11" s="92">
        <v>2007</v>
      </c>
      <c r="O11" s="92">
        <v>1</v>
      </c>
      <c r="P11" s="92">
        <v>2009</v>
      </c>
      <c r="Q11" s="92">
        <v>2</v>
      </c>
      <c r="R11" s="93">
        <v>44213.666666666599</v>
      </c>
    </row>
    <row r="12" spans="1:18" x14ac:dyDescent="0.15">
      <c r="A12" s="92" t="s">
        <v>112</v>
      </c>
      <c r="B12" s="92" t="s">
        <v>113</v>
      </c>
      <c r="C12" s="92" t="s">
        <v>118</v>
      </c>
      <c r="D12" s="92" t="s">
        <v>115</v>
      </c>
      <c r="E12" s="93">
        <v>46046.012000000002</v>
      </c>
      <c r="H12" s="92">
        <v>2007</v>
      </c>
      <c r="I12" s="92">
        <v>1</v>
      </c>
      <c r="J12" s="92">
        <v>2009</v>
      </c>
      <c r="K12" s="92">
        <v>3</v>
      </c>
      <c r="L12" s="93">
        <v>67106.254000000001</v>
      </c>
      <c r="N12" s="92">
        <v>2007</v>
      </c>
      <c r="O12" s="92">
        <v>1</v>
      </c>
      <c r="P12" s="92">
        <v>2009</v>
      </c>
      <c r="Q12" s="92">
        <v>3</v>
      </c>
      <c r="R12" s="93">
        <v>44208.25</v>
      </c>
    </row>
    <row r="13" spans="1:18" x14ac:dyDescent="0.15">
      <c r="A13" s="92" t="s">
        <v>112</v>
      </c>
      <c r="B13" s="92" t="s">
        <v>113</v>
      </c>
      <c r="C13" s="92" t="s">
        <v>118</v>
      </c>
      <c r="D13" s="92" t="s">
        <v>116</v>
      </c>
      <c r="E13" s="93">
        <v>46039.194000000003</v>
      </c>
      <c r="H13" s="92">
        <v>2007</v>
      </c>
      <c r="I13" s="92">
        <v>1</v>
      </c>
      <c r="J13" s="92">
        <v>2009</v>
      </c>
      <c r="K13" s="92">
        <v>4</v>
      </c>
      <c r="L13" s="93">
        <v>66677.691000000006</v>
      </c>
      <c r="N13" s="92">
        <v>2007</v>
      </c>
      <c r="O13" s="92">
        <v>1</v>
      </c>
      <c r="P13" s="92">
        <v>2009</v>
      </c>
      <c r="Q13" s="92">
        <v>4</v>
      </c>
      <c r="R13" s="93">
        <v>43861.083333333299</v>
      </c>
    </row>
    <row r="14" spans="1:18" x14ac:dyDescent="0.15">
      <c r="A14" s="92" t="s">
        <v>112</v>
      </c>
      <c r="B14" s="92" t="s">
        <v>113</v>
      </c>
      <c r="C14" s="92" t="s">
        <v>119</v>
      </c>
      <c r="D14" s="92" t="s">
        <v>113</v>
      </c>
      <c r="E14" s="93">
        <v>46039.194000000003</v>
      </c>
      <c r="H14" s="92">
        <v>2007</v>
      </c>
      <c r="I14" s="92">
        <v>1</v>
      </c>
      <c r="J14" s="92">
        <v>2010</v>
      </c>
      <c r="K14" s="92">
        <v>1</v>
      </c>
      <c r="L14" s="93">
        <v>66677.691000000006</v>
      </c>
      <c r="N14" s="92">
        <v>2007</v>
      </c>
      <c r="O14" s="92">
        <v>1</v>
      </c>
      <c r="P14" s="92">
        <v>2010</v>
      </c>
      <c r="Q14" s="92">
        <v>1</v>
      </c>
      <c r="R14" s="93">
        <v>43861.083333333299</v>
      </c>
    </row>
    <row r="15" spans="1:18" x14ac:dyDescent="0.15">
      <c r="A15" s="92" t="s">
        <v>112</v>
      </c>
      <c r="B15" s="92" t="s">
        <v>113</v>
      </c>
      <c r="C15" s="92" t="s">
        <v>119</v>
      </c>
      <c r="D15" s="92" t="s">
        <v>114</v>
      </c>
      <c r="E15" s="93">
        <v>46039.194000000003</v>
      </c>
      <c r="H15" s="92">
        <v>2007</v>
      </c>
      <c r="I15" s="92">
        <v>1</v>
      </c>
      <c r="J15" s="92">
        <v>2010</v>
      </c>
      <c r="K15" s="92">
        <v>2</v>
      </c>
      <c r="L15" s="93">
        <v>66677.691000000006</v>
      </c>
      <c r="N15" s="92">
        <v>2007</v>
      </c>
      <c r="O15" s="92">
        <v>1</v>
      </c>
      <c r="P15" s="92">
        <v>2010</v>
      </c>
      <c r="Q15" s="92">
        <v>2</v>
      </c>
      <c r="R15" s="93">
        <v>43861.083333333299</v>
      </c>
    </row>
    <row r="16" spans="1:18" x14ac:dyDescent="0.15">
      <c r="A16" s="92" t="s">
        <v>112</v>
      </c>
      <c r="B16" s="92" t="s">
        <v>113</v>
      </c>
      <c r="C16" s="92" t="s">
        <v>119</v>
      </c>
      <c r="D16" s="92" t="s">
        <v>115</v>
      </c>
      <c r="E16" s="93">
        <v>46039.194000000003</v>
      </c>
      <c r="H16" s="92">
        <v>2007</v>
      </c>
      <c r="I16" s="92">
        <v>1</v>
      </c>
      <c r="J16" s="92">
        <v>2010</v>
      </c>
      <c r="K16" s="92">
        <v>3</v>
      </c>
      <c r="L16" s="93">
        <v>66677.691000000006</v>
      </c>
      <c r="N16" s="92">
        <v>2007</v>
      </c>
      <c r="O16" s="92">
        <v>1</v>
      </c>
      <c r="P16" s="92">
        <v>2010</v>
      </c>
      <c r="Q16" s="92">
        <v>3</v>
      </c>
      <c r="R16" s="93">
        <v>43861.083333333299</v>
      </c>
    </row>
    <row r="17" spans="1:18" x14ac:dyDescent="0.15">
      <c r="A17" s="92" t="s">
        <v>112</v>
      </c>
      <c r="B17" s="92" t="s">
        <v>113</v>
      </c>
      <c r="C17" s="92" t="s">
        <v>119</v>
      </c>
      <c r="D17" s="92" t="s">
        <v>116</v>
      </c>
      <c r="E17" s="93">
        <v>46039.194000000003</v>
      </c>
      <c r="H17" s="92">
        <v>2007</v>
      </c>
      <c r="I17" s="92">
        <v>1</v>
      </c>
      <c r="J17" s="92">
        <v>2010</v>
      </c>
      <c r="K17" s="92">
        <v>4</v>
      </c>
      <c r="L17" s="93">
        <v>66677.691000000006</v>
      </c>
      <c r="N17" s="92">
        <v>2007</v>
      </c>
      <c r="O17" s="92">
        <v>1</v>
      </c>
      <c r="P17" s="92">
        <v>2010</v>
      </c>
      <c r="Q17" s="92">
        <v>4</v>
      </c>
      <c r="R17" s="93">
        <v>43861.083333333299</v>
      </c>
    </row>
    <row r="18" spans="1:18" x14ac:dyDescent="0.15">
      <c r="A18" s="92" t="s">
        <v>112</v>
      </c>
      <c r="B18" s="92" t="s">
        <v>113</v>
      </c>
      <c r="C18" s="92" t="s">
        <v>120</v>
      </c>
      <c r="D18" s="92" t="s">
        <v>113</v>
      </c>
      <c r="E18" s="93">
        <v>46039.194000000003</v>
      </c>
      <c r="H18" s="92">
        <v>2007</v>
      </c>
      <c r="I18" s="92">
        <v>1</v>
      </c>
      <c r="J18" s="92">
        <v>2011</v>
      </c>
      <c r="K18" s="92">
        <v>1</v>
      </c>
      <c r="L18" s="93">
        <v>66677.691000000006</v>
      </c>
      <c r="N18" s="92">
        <v>2007</v>
      </c>
      <c r="O18" s="92">
        <v>1</v>
      </c>
      <c r="P18" s="92">
        <v>2011</v>
      </c>
      <c r="Q18" s="92">
        <v>1</v>
      </c>
      <c r="R18" s="93">
        <v>43861.083333333299</v>
      </c>
    </row>
    <row r="19" spans="1:18" x14ac:dyDescent="0.15">
      <c r="A19" s="92" t="s">
        <v>112</v>
      </c>
      <c r="B19" s="92" t="s">
        <v>113</v>
      </c>
      <c r="C19" s="92" t="s">
        <v>120</v>
      </c>
      <c r="D19" s="92" t="s">
        <v>114</v>
      </c>
      <c r="E19" s="93">
        <v>46039.194000000003</v>
      </c>
      <c r="H19" s="92">
        <v>2007</v>
      </c>
      <c r="I19" s="92">
        <v>1</v>
      </c>
      <c r="J19" s="92">
        <v>2011</v>
      </c>
      <c r="K19" s="92">
        <v>2</v>
      </c>
      <c r="L19" s="93">
        <v>66677.691000000006</v>
      </c>
      <c r="N19" s="92">
        <v>2007</v>
      </c>
      <c r="O19" s="92">
        <v>1</v>
      </c>
      <c r="P19" s="92">
        <v>2011</v>
      </c>
      <c r="Q19" s="92">
        <v>2</v>
      </c>
      <c r="R19" s="93">
        <v>43861.083333333299</v>
      </c>
    </row>
    <row r="20" spans="1:18" x14ac:dyDescent="0.15">
      <c r="A20" s="92" t="s">
        <v>112</v>
      </c>
      <c r="B20" s="92" t="s">
        <v>113</v>
      </c>
      <c r="C20" s="92" t="s">
        <v>120</v>
      </c>
      <c r="D20" s="92" t="s">
        <v>115</v>
      </c>
      <c r="E20" s="93">
        <v>46039.194000000003</v>
      </c>
      <c r="H20" s="92">
        <v>2007</v>
      </c>
      <c r="I20" s="92">
        <v>1</v>
      </c>
      <c r="J20" s="92">
        <v>2011</v>
      </c>
      <c r="K20" s="92">
        <v>3</v>
      </c>
      <c r="L20" s="93">
        <v>66677.691000000006</v>
      </c>
      <c r="N20" s="92">
        <v>2007</v>
      </c>
      <c r="O20" s="92">
        <v>1</v>
      </c>
      <c r="P20" s="92">
        <v>2011</v>
      </c>
      <c r="Q20" s="92">
        <v>3</v>
      </c>
      <c r="R20" s="93">
        <v>43861.083333333299</v>
      </c>
    </row>
    <row r="21" spans="1:18" x14ac:dyDescent="0.15">
      <c r="A21" s="92" t="s">
        <v>112</v>
      </c>
      <c r="B21" s="92" t="s">
        <v>113</v>
      </c>
      <c r="C21" s="92" t="s">
        <v>120</v>
      </c>
      <c r="D21" s="92" t="s">
        <v>116</v>
      </c>
      <c r="E21" s="93">
        <v>46039.194000000003</v>
      </c>
      <c r="H21" s="92">
        <v>2007</v>
      </c>
      <c r="I21" s="92">
        <v>1</v>
      </c>
      <c r="J21" s="92">
        <v>2011</v>
      </c>
      <c r="K21" s="92">
        <v>4</v>
      </c>
      <c r="L21" s="93">
        <v>66677.691000000006</v>
      </c>
      <c r="N21" s="92">
        <v>2007</v>
      </c>
      <c r="O21" s="92">
        <v>1</v>
      </c>
      <c r="P21" s="92">
        <v>2011</v>
      </c>
      <c r="Q21" s="92">
        <v>4</v>
      </c>
      <c r="R21" s="93">
        <v>43861.083333333299</v>
      </c>
    </row>
    <row r="22" spans="1:18" x14ac:dyDescent="0.15">
      <c r="A22" s="92" t="s">
        <v>112</v>
      </c>
      <c r="B22" s="92" t="s">
        <v>114</v>
      </c>
      <c r="C22" s="92" t="s">
        <v>112</v>
      </c>
      <c r="D22" s="92" t="s">
        <v>114</v>
      </c>
      <c r="E22" s="93">
        <v>45279.351000000002</v>
      </c>
      <c r="H22" s="92">
        <v>2007</v>
      </c>
      <c r="I22" s="92">
        <v>2</v>
      </c>
      <c r="J22" s="92">
        <v>2007</v>
      </c>
      <c r="K22" s="92">
        <v>1</v>
      </c>
      <c r="L22" s="93">
        <v>804.17899999999997</v>
      </c>
      <c r="N22" s="92">
        <v>2007</v>
      </c>
      <c r="O22" s="92">
        <v>2</v>
      </c>
      <c r="P22" s="92">
        <v>2007</v>
      </c>
      <c r="Q22" s="92">
        <v>1</v>
      </c>
      <c r="R22" s="93">
        <v>710</v>
      </c>
    </row>
    <row r="23" spans="1:18" x14ac:dyDescent="0.15">
      <c r="A23" s="92" t="s">
        <v>112</v>
      </c>
      <c r="B23" s="92" t="s">
        <v>114</v>
      </c>
      <c r="C23" s="92" t="s">
        <v>112</v>
      </c>
      <c r="D23" s="92" t="s">
        <v>115</v>
      </c>
      <c r="E23" s="93">
        <v>44613.356</v>
      </c>
      <c r="H23" s="92">
        <v>2007</v>
      </c>
      <c r="I23" s="92">
        <v>2</v>
      </c>
      <c r="J23" s="92">
        <v>2007</v>
      </c>
      <c r="K23" s="92">
        <v>2</v>
      </c>
      <c r="L23" s="93">
        <v>72065.307000000001</v>
      </c>
      <c r="N23" s="92">
        <v>2007</v>
      </c>
      <c r="O23" s="92">
        <v>2</v>
      </c>
      <c r="P23" s="92">
        <v>2007</v>
      </c>
      <c r="Q23" s="92">
        <v>2</v>
      </c>
      <c r="R23" s="93">
        <v>49783.833333333299</v>
      </c>
    </row>
    <row r="24" spans="1:18" x14ac:dyDescent="0.15">
      <c r="A24" s="92" t="s">
        <v>112</v>
      </c>
      <c r="B24" s="92" t="s">
        <v>114</v>
      </c>
      <c r="C24" s="92" t="s">
        <v>112</v>
      </c>
      <c r="D24" s="92" t="s">
        <v>116</v>
      </c>
      <c r="E24" s="93">
        <v>43004.112999999998</v>
      </c>
      <c r="H24" s="92">
        <v>2007</v>
      </c>
      <c r="I24" s="92">
        <v>2</v>
      </c>
      <c r="J24" s="92">
        <v>2007</v>
      </c>
      <c r="K24" s="92">
        <v>3</v>
      </c>
      <c r="L24" s="93">
        <v>70711.607999999993</v>
      </c>
      <c r="N24" s="92">
        <v>2007</v>
      </c>
      <c r="O24" s="92">
        <v>2</v>
      </c>
      <c r="P24" s="92">
        <v>2007</v>
      </c>
      <c r="Q24" s="92">
        <v>3</v>
      </c>
      <c r="R24" s="93">
        <v>49453.666666666599</v>
      </c>
    </row>
    <row r="25" spans="1:18" x14ac:dyDescent="0.15">
      <c r="A25" s="92" t="s">
        <v>112</v>
      </c>
      <c r="B25" s="92" t="s">
        <v>114</v>
      </c>
      <c r="C25" s="92" t="s">
        <v>117</v>
      </c>
      <c r="D25" s="92" t="s">
        <v>113</v>
      </c>
      <c r="E25" s="93">
        <v>42617.148999999998</v>
      </c>
      <c r="H25" s="92">
        <v>2007</v>
      </c>
      <c r="I25" s="92">
        <v>2</v>
      </c>
      <c r="J25" s="92">
        <v>2007</v>
      </c>
      <c r="K25" s="92">
        <v>4</v>
      </c>
      <c r="L25" s="93">
        <v>67175.06</v>
      </c>
      <c r="N25" s="92">
        <v>2007</v>
      </c>
      <c r="O25" s="92">
        <v>2</v>
      </c>
      <c r="P25" s="92">
        <v>2007</v>
      </c>
      <c r="Q25" s="92">
        <v>4</v>
      </c>
      <c r="R25" s="93">
        <v>47112.583333333299</v>
      </c>
    </row>
    <row r="26" spans="1:18" x14ac:dyDescent="0.15">
      <c r="A26" s="92" t="s">
        <v>112</v>
      </c>
      <c r="B26" s="92" t="s">
        <v>114</v>
      </c>
      <c r="C26" s="92" t="s">
        <v>117</v>
      </c>
      <c r="D26" s="92" t="s">
        <v>114</v>
      </c>
      <c r="E26" s="93">
        <v>42439.985000000001</v>
      </c>
      <c r="H26" s="92">
        <v>2007</v>
      </c>
      <c r="I26" s="92">
        <v>2</v>
      </c>
      <c r="J26" s="92">
        <v>2008</v>
      </c>
      <c r="K26" s="92">
        <v>1</v>
      </c>
      <c r="L26" s="93">
        <v>66066.788</v>
      </c>
      <c r="N26" s="92">
        <v>2007</v>
      </c>
      <c r="O26" s="92">
        <v>2</v>
      </c>
      <c r="P26" s="92">
        <v>2008</v>
      </c>
      <c r="Q26" s="92">
        <v>1</v>
      </c>
      <c r="R26" s="93">
        <v>46418.083333333299</v>
      </c>
    </row>
    <row r="27" spans="1:18" x14ac:dyDescent="0.15">
      <c r="A27" s="92" t="s">
        <v>112</v>
      </c>
      <c r="B27" s="92" t="s">
        <v>114</v>
      </c>
      <c r="C27" s="92" t="s">
        <v>117</v>
      </c>
      <c r="D27" s="92" t="s">
        <v>115</v>
      </c>
      <c r="E27" s="93">
        <v>42465.195</v>
      </c>
      <c r="H27" s="92">
        <v>2007</v>
      </c>
      <c r="I27" s="92">
        <v>2</v>
      </c>
      <c r="J27" s="92">
        <v>2008</v>
      </c>
      <c r="K27" s="92">
        <v>2</v>
      </c>
      <c r="L27" s="93">
        <v>65881.645000000004</v>
      </c>
      <c r="N27" s="92">
        <v>2007</v>
      </c>
      <c r="O27" s="92">
        <v>2</v>
      </c>
      <c r="P27" s="92">
        <v>2008</v>
      </c>
      <c r="Q27" s="92">
        <v>2</v>
      </c>
      <c r="R27" s="93">
        <v>46305.916666666599</v>
      </c>
    </row>
    <row r="28" spans="1:18" x14ac:dyDescent="0.15">
      <c r="A28" s="92" t="s">
        <v>112</v>
      </c>
      <c r="B28" s="92" t="s">
        <v>114</v>
      </c>
      <c r="C28" s="92" t="s">
        <v>117</v>
      </c>
      <c r="D28" s="92" t="s">
        <v>116</v>
      </c>
      <c r="E28" s="93">
        <v>42455.307000000001</v>
      </c>
      <c r="H28" s="92">
        <v>2007</v>
      </c>
      <c r="I28" s="92">
        <v>2</v>
      </c>
      <c r="J28" s="92">
        <v>2008</v>
      </c>
      <c r="K28" s="92">
        <v>3</v>
      </c>
      <c r="L28" s="93">
        <v>65877.157999999996</v>
      </c>
      <c r="N28" s="92">
        <v>2007</v>
      </c>
      <c r="O28" s="92">
        <v>2</v>
      </c>
      <c r="P28" s="92">
        <v>2008</v>
      </c>
      <c r="Q28" s="92">
        <v>3</v>
      </c>
      <c r="R28" s="93">
        <v>46316.916666666599</v>
      </c>
    </row>
    <row r="29" spans="1:18" x14ac:dyDescent="0.15">
      <c r="A29" s="92" t="s">
        <v>112</v>
      </c>
      <c r="B29" s="92" t="s">
        <v>114</v>
      </c>
      <c r="C29" s="92" t="s">
        <v>118</v>
      </c>
      <c r="D29" s="92" t="s">
        <v>113</v>
      </c>
      <c r="E29" s="93">
        <v>42449.633000000002</v>
      </c>
      <c r="H29" s="92">
        <v>2007</v>
      </c>
      <c r="I29" s="92">
        <v>2</v>
      </c>
      <c r="J29" s="92">
        <v>2008</v>
      </c>
      <c r="K29" s="92">
        <v>4</v>
      </c>
      <c r="L29" s="93">
        <v>65881.188999999998</v>
      </c>
      <c r="N29" s="92">
        <v>2007</v>
      </c>
      <c r="O29" s="92">
        <v>2</v>
      </c>
      <c r="P29" s="92">
        <v>2008</v>
      </c>
      <c r="Q29" s="92">
        <v>4</v>
      </c>
      <c r="R29" s="93">
        <v>46320.5</v>
      </c>
    </row>
    <row r="30" spans="1:18" x14ac:dyDescent="0.15">
      <c r="A30" s="92" t="s">
        <v>112</v>
      </c>
      <c r="B30" s="92" t="s">
        <v>114</v>
      </c>
      <c r="C30" s="92" t="s">
        <v>118</v>
      </c>
      <c r="D30" s="92" t="s">
        <v>114</v>
      </c>
      <c r="E30" s="93">
        <v>42430.300999999999</v>
      </c>
      <c r="H30" s="92">
        <v>2007</v>
      </c>
      <c r="I30" s="92">
        <v>2</v>
      </c>
      <c r="J30" s="92">
        <v>2009</v>
      </c>
      <c r="K30" s="92">
        <v>1</v>
      </c>
      <c r="L30" s="93">
        <v>65877.873999999996</v>
      </c>
      <c r="N30" s="92">
        <v>2007</v>
      </c>
      <c r="O30" s="92">
        <v>2</v>
      </c>
      <c r="P30" s="92">
        <v>2009</v>
      </c>
      <c r="Q30" s="92">
        <v>1</v>
      </c>
      <c r="R30" s="93">
        <v>46321.5</v>
      </c>
    </row>
    <row r="31" spans="1:18" x14ac:dyDescent="0.15">
      <c r="A31" s="92" t="s">
        <v>112</v>
      </c>
      <c r="B31" s="92" t="s">
        <v>114</v>
      </c>
      <c r="C31" s="92" t="s">
        <v>118</v>
      </c>
      <c r="D31" s="92" t="s">
        <v>115</v>
      </c>
      <c r="E31" s="93">
        <v>42425.771999999997</v>
      </c>
      <c r="H31" s="92">
        <v>2007</v>
      </c>
      <c r="I31" s="92">
        <v>2</v>
      </c>
      <c r="J31" s="92">
        <v>2009</v>
      </c>
      <c r="K31" s="92">
        <v>2</v>
      </c>
      <c r="L31" s="93">
        <v>65875.418000000005</v>
      </c>
      <c r="N31" s="92">
        <v>2007</v>
      </c>
      <c r="O31" s="92">
        <v>2</v>
      </c>
      <c r="P31" s="92">
        <v>2009</v>
      </c>
      <c r="Q31" s="92">
        <v>2</v>
      </c>
      <c r="R31" s="93">
        <v>46322.583333333299</v>
      </c>
    </row>
    <row r="32" spans="1:18" x14ac:dyDescent="0.15">
      <c r="A32" s="92" t="s">
        <v>112</v>
      </c>
      <c r="B32" s="92" t="s">
        <v>114</v>
      </c>
      <c r="C32" s="92" t="s">
        <v>118</v>
      </c>
      <c r="D32" s="92" t="s">
        <v>116</v>
      </c>
      <c r="E32" s="93">
        <v>42421.983999999997</v>
      </c>
      <c r="H32" s="92">
        <v>2007</v>
      </c>
      <c r="I32" s="92">
        <v>2</v>
      </c>
      <c r="J32" s="92">
        <v>2009</v>
      </c>
      <c r="K32" s="92">
        <v>3</v>
      </c>
      <c r="L32" s="93">
        <v>65863.923999999999</v>
      </c>
      <c r="N32" s="92">
        <v>2007</v>
      </c>
      <c r="O32" s="92">
        <v>2</v>
      </c>
      <c r="P32" s="92">
        <v>2009</v>
      </c>
      <c r="Q32" s="92">
        <v>3</v>
      </c>
      <c r="R32" s="93">
        <v>46313.416666666599</v>
      </c>
    </row>
    <row r="33" spans="1:18" x14ac:dyDescent="0.15">
      <c r="A33" s="92" t="s">
        <v>112</v>
      </c>
      <c r="B33" s="92" t="s">
        <v>114</v>
      </c>
      <c r="C33" s="92" t="s">
        <v>119</v>
      </c>
      <c r="D33" s="92" t="s">
        <v>113</v>
      </c>
      <c r="E33" s="93">
        <v>42421.983999999997</v>
      </c>
      <c r="H33" s="92">
        <v>2007</v>
      </c>
      <c r="I33" s="92">
        <v>2</v>
      </c>
      <c r="J33" s="92">
        <v>2009</v>
      </c>
      <c r="K33" s="92">
        <v>4</v>
      </c>
      <c r="L33" s="93">
        <v>64928.978000000003</v>
      </c>
      <c r="N33" s="92">
        <v>2007</v>
      </c>
      <c r="O33" s="92">
        <v>2</v>
      </c>
      <c r="P33" s="92">
        <v>2009</v>
      </c>
      <c r="Q33" s="92">
        <v>4</v>
      </c>
      <c r="R33" s="93">
        <v>45543</v>
      </c>
    </row>
    <row r="34" spans="1:18" x14ac:dyDescent="0.15">
      <c r="A34" s="92" t="s">
        <v>112</v>
      </c>
      <c r="B34" s="92" t="s">
        <v>114</v>
      </c>
      <c r="C34" s="92" t="s">
        <v>119</v>
      </c>
      <c r="D34" s="92" t="s">
        <v>114</v>
      </c>
      <c r="E34" s="93">
        <v>42421.983999999997</v>
      </c>
      <c r="H34" s="92">
        <v>2007</v>
      </c>
      <c r="I34" s="92">
        <v>2</v>
      </c>
      <c r="J34" s="92">
        <v>2010</v>
      </c>
      <c r="K34" s="92">
        <v>1</v>
      </c>
      <c r="L34" s="93">
        <v>64928.978000000003</v>
      </c>
      <c r="N34" s="92">
        <v>2007</v>
      </c>
      <c r="O34" s="92">
        <v>2</v>
      </c>
      <c r="P34" s="92">
        <v>2010</v>
      </c>
      <c r="Q34" s="92">
        <v>1</v>
      </c>
      <c r="R34" s="93">
        <v>45543</v>
      </c>
    </row>
    <row r="35" spans="1:18" x14ac:dyDescent="0.15">
      <c r="A35" s="92" t="s">
        <v>112</v>
      </c>
      <c r="B35" s="92" t="s">
        <v>114</v>
      </c>
      <c r="C35" s="92" t="s">
        <v>119</v>
      </c>
      <c r="D35" s="92" t="s">
        <v>115</v>
      </c>
      <c r="E35" s="93">
        <v>42421.983999999997</v>
      </c>
      <c r="H35" s="92">
        <v>2007</v>
      </c>
      <c r="I35" s="92">
        <v>2</v>
      </c>
      <c r="J35" s="92">
        <v>2010</v>
      </c>
      <c r="K35" s="92">
        <v>2</v>
      </c>
      <c r="L35" s="93">
        <v>64928.978000000003</v>
      </c>
      <c r="N35" s="92">
        <v>2007</v>
      </c>
      <c r="O35" s="92">
        <v>2</v>
      </c>
      <c r="P35" s="92">
        <v>2010</v>
      </c>
      <c r="Q35" s="92">
        <v>2</v>
      </c>
      <c r="R35" s="93">
        <v>45543</v>
      </c>
    </row>
    <row r="36" spans="1:18" x14ac:dyDescent="0.15">
      <c r="A36" s="92" t="s">
        <v>112</v>
      </c>
      <c r="B36" s="92" t="s">
        <v>114</v>
      </c>
      <c r="C36" s="92" t="s">
        <v>119</v>
      </c>
      <c r="D36" s="92" t="s">
        <v>116</v>
      </c>
      <c r="E36" s="93">
        <v>42421.983999999997</v>
      </c>
      <c r="H36" s="92">
        <v>2007</v>
      </c>
      <c r="I36" s="92">
        <v>2</v>
      </c>
      <c r="J36" s="92">
        <v>2010</v>
      </c>
      <c r="K36" s="92">
        <v>3</v>
      </c>
      <c r="L36" s="93">
        <v>64928.978000000003</v>
      </c>
      <c r="N36" s="92">
        <v>2007</v>
      </c>
      <c r="O36" s="92">
        <v>2</v>
      </c>
      <c r="P36" s="92">
        <v>2010</v>
      </c>
      <c r="Q36" s="92">
        <v>3</v>
      </c>
      <c r="R36" s="93">
        <v>45543</v>
      </c>
    </row>
    <row r="37" spans="1:18" x14ac:dyDescent="0.15">
      <c r="A37" s="92" t="s">
        <v>112</v>
      </c>
      <c r="B37" s="92" t="s">
        <v>114</v>
      </c>
      <c r="C37" s="92" t="s">
        <v>120</v>
      </c>
      <c r="D37" s="92" t="s">
        <v>113</v>
      </c>
      <c r="E37" s="93">
        <v>42421.983999999997</v>
      </c>
      <c r="H37" s="92">
        <v>2007</v>
      </c>
      <c r="I37" s="92">
        <v>2</v>
      </c>
      <c r="J37" s="92">
        <v>2010</v>
      </c>
      <c r="K37" s="92">
        <v>4</v>
      </c>
      <c r="L37" s="93">
        <v>64928.978000000003</v>
      </c>
      <c r="N37" s="92">
        <v>2007</v>
      </c>
      <c r="O37" s="92">
        <v>2</v>
      </c>
      <c r="P37" s="92">
        <v>2010</v>
      </c>
      <c r="Q37" s="92">
        <v>4</v>
      </c>
      <c r="R37" s="93">
        <v>45543</v>
      </c>
    </row>
    <row r="38" spans="1:18" x14ac:dyDescent="0.15">
      <c r="A38" s="92" t="s">
        <v>112</v>
      </c>
      <c r="B38" s="92" t="s">
        <v>114</v>
      </c>
      <c r="C38" s="92" t="s">
        <v>120</v>
      </c>
      <c r="D38" s="92" t="s">
        <v>114</v>
      </c>
      <c r="E38" s="93">
        <v>42421.983999999997</v>
      </c>
      <c r="H38" s="92">
        <v>2007</v>
      </c>
      <c r="I38" s="92">
        <v>2</v>
      </c>
      <c r="J38" s="92">
        <v>2011</v>
      </c>
      <c r="K38" s="92">
        <v>1</v>
      </c>
      <c r="L38" s="93">
        <v>64928.978000000003</v>
      </c>
      <c r="N38" s="92">
        <v>2007</v>
      </c>
      <c r="O38" s="92">
        <v>2</v>
      </c>
      <c r="P38" s="92">
        <v>2011</v>
      </c>
      <c r="Q38" s="92">
        <v>1</v>
      </c>
      <c r="R38" s="93">
        <v>45543</v>
      </c>
    </row>
    <row r="39" spans="1:18" x14ac:dyDescent="0.15">
      <c r="A39" s="92" t="s">
        <v>112</v>
      </c>
      <c r="B39" s="92" t="s">
        <v>114</v>
      </c>
      <c r="C39" s="92" t="s">
        <v>120</v>
      </c>
      <c r="D39" s="92" t="s">
        <v>115</v>
      </c>
      <c r="E39" s="93">
        <v>42421.983999999997</v>
      </c>
      <c r="H39" s="92">
        <v>2007</v>
      </c>
      <c r="I39" s="92">
        <v>2</v>
      </c>
      <c r="J39" s="92">
        <v>2011</v>
      </c>
      <c r="K39" s="92">
        <v>2</v>
      </c>
      <c r="L39" s="93">
        <v>64928.978000000003</v>
      </c>
      <c r="N39" s="92">
        <v>2007</v>
      </c>
      <c r="O39" s="92">
        <v>2</v>
      </c>
      <c r="P39" s="92">
        <v>2011</v>
      </c>
      <c r="Q39" s="92">
        <v>2</v>
      </c>
      <c r="R39" s="93">
        <v>45543</v>
      </c>
    </row>
    <row r="40" spans="1:18" x14ac:dyDescent="0.15">
      <c r="A40" s="92" t="s">
        <v>112</v>
      </c>
      <c r="B40" s="92" t="s">
        <v>114</v>
      </c>
      <c r="C40" s="92" t="s">
        <v>120</v>
      </c>
      <c r="D40" s="92" t="s">
        <v>116</v>
      </c>
      <c r="E40" s="93">
        <v>42421.983999999997</v>
      </c>
      <c r="H40" s="92">
        <v>2007</v>
      </c>
      <c r="I40" s="92">
        <v>2</v>
      </c>
      <c r="J40" s="92">
        <v>2011</v>
      </c>
      <c r="K40" s="92">
        <v>3</v>
      </c>
      <c r="L40" s="93">
        <v>64928.978000000003</v>
      </c>
      <c r="N40" s="92">
        <v>2007</v>
      </c>
      <c r="O40" s="92">
        <v>2</v>
      </c>
      <c r="P40" s="92">
        <v>2011</v>
      </c>
      <c r="Q40" s="92">
        <v>3</v>
      </c>
      <c r="R40" s="93">
        <v>45543</v>
      </c>
    </row>
    <row r="41" spans="1:18" x14ac:dyDescent="0.15">
      <c r="A41" s="92" t="s">
        <v>112</v>
      </c>
      <c r="B41" s="92" t="s">
        <v>115</v>
      </c>
      <c r="C41" s="92" t="s">
        <v>112</v>
      </c>
      <c r="D41" s="92" t="s">
        <v>115</v>
      </c>
      <c r="E41" s="93">
        <v>39500.163999999997</v>
      </c>
      <c r="H41" s="92">
        <v>2007</v>
      </c>
      <c r="I41" s="92">
        <v>2</v>
      </c>
      <c r="J41" s="92">
        <v>2011</v>
      </c>
      <c r="K41" s="92">
        <v>4</v>
      </c>
      <c r="L41" s="93">
        <v>64928.978000000003</v>
      </c>
      <c r="N41" s="92">
        <v>2007</v>
      </c>
      <c r="O41" s="92">
        <v>2</v>
      </c>
      <c r="P41" s="92">
        <v>2011</v>
      </c>
      <c r="Q41" s="92">
        <v>4</v>
      </c>
      <c r="R41" s="93">
        <v>45543</v>
      </c>
    </row>
    <row r="42" spans="1:18" x14ac:dyDescent="0.15">
      <c r="A42" s="92" t="s">
        <v>112</v>
      </c>
      <c r="B42" s="92" t="s">
        <v>115</v>
      </c>
      <c r="C42" s="92" t="s">
        <v>112</v>
      </c>
      <c r="D42" s="92" t="s">
        <v>116</v>
      </c>
      <c r="E42" s="93">
        <v>39679.648000000001</v>
      </c>
      <c r="H42" s="92">
        <v>2007</v>
      </c>
      <c r="I42" s="92">
        <v>3</v>
      </c>
      <c r="J42" s="92">
        <v>2007</v>
      </c>
      <c r="K42" s="92">
        <v>2</v>
      </c>
      <c r="L42" s="93">
        <v>637.05700000000002</v>
      </c>
      <c r="N42" s="92">
        <v>2007</v>
      </c>
      <c r="O42" s="92">
        <v>3</v>
      </c>
      <c r="P42" s="92">
        <v>2007</v>
      </c>
      <c r="Q42" s="92">
        <v>2</v>
      </c>
      <c r="R42" s="93">
        <v>612</v>
      </c>
    </row>
    <row r="43" spans="1:18" x14ac:dyDescent="0.15">
      <c r="A43" s="92" t="s">
        <v>112</v>
      </c>
      <c r="B43" s="92" t="s">
        <v>115</v>
      </c>
      <c r="C43" s="92" t="s">
        <v>117</v>
      </c>
      <c r="D43" s="92" t="s">
        <v>113</v>
      </c>
      <c r="E43" s="93">
        <v>38470.061000000002</v>
      </c>
      <c r="H43" s="92">
        <v>2007</v>
      </c>
      <c r="I43" s="92">
        <v>3</v>
      </c>
      <c r="J43" s="92">
        <v>2007</v>
      </c>
      <c r="K43" s="92">
        <v>3</v>
      </c>
      <c r="L43" s="93">
        <v>74423.777000000002</v>
      </c>
      <c r="N43" s="92">
        <v>2007</v>
      </c>
      <c r="O43" s="92">
        <v>3</v>
      </c>
      <c r="P43" s="92">
        <v>2007</v>
      </c>
      <c r="Q43" s="92">
        <v>3</v>
      </c>
      <c r="R43" s="93">
        <v>50195.75</v>
      </c>
    </row>
    <row r="44" spans="1:18" x14ac:dyDescent="0.15">
      <c r="A44" s="92" t="s">
        <v>112</v>
      </c>
      <c r="B44" s="92" t="s">
        <v>115</v>
      </c>
      <c r="C44" s="92" t="s">
        <v>117</v>
      </c>
      <c r="D44" s="92" t="s">
        <v>114</v>
      </c>
      <c r="E44" s="93">
        <v>38175.690999999999</v>
      </c>
      <c r="H44" s="92">
        <v>2007</v>
      </c>
      <c r="I44" s="92">
        <v>3</v>
      </c>
      <c r="J44" s="92">
        <v>2007</v>
      </c>
      <c r="K44" s="92">
        <v>4</v>
      </c>
      <c r="L44" s="93">
        <v>72299.495999999999</v>
      </c>
      <c r="N44" s="92">
        <v>2007</v>
      </c>
      <c r="O44" s="92">
        <v>3</v>
      </c>
      <c r="P44" s="92">
        <v>2007</v>
      </c>
      <c r="Q44" s="92">
        <v>4</v>
      </c>
      <c r="R44" s="93">
        <v>49188.833333333299</v>
      </c>
    </row>
    <row r="45" spans="1:18" x14ac:dyDescent="0.15">
      <c r="A45" s="92" t="s">
        <v>112</v>
      </c>
      <c r="B45" s="92" t="s">
        <v>115</v>
      </c>
      <c r="C45" s="92" t="s">
        <v>117</v>
      </c>
      <c r="D45" s="92" t="s">
        <v>115</v>
      </c>
      <c r="E45" s="93">
        <v>38084.845000000001</v>
      </c>
      <c r="H45" s="92">
        <v>2007</v>
      </c>
      <c r="I45" s="92">
        <v>3</v>
      </c>
      <c r="J45" s="92">
        <v>2008</v>
      </c>
      <c r="K45" s="92">
        <v>1</v>
      </c>
      <c r="L45" s="93">
        <v>69256.22</v>
      </c>
      <c r="N45" s="92">
        <v>2007</v>
      </c>
      <c r="O45" s="92">
        <v>3</v>
      </c>
      <c r="P45" s="92">
        <v>2008</v>
      </c>
      <c r="Q45" s="92">
        <v>1</v>
      </c>
      <c r="R45" s="93">
        <v>47270.75</v>
      </c>
    </row>
    <row r="46" spans="1:18" x14ac:dyDescent="0.15">
      <c r="A46" s="92" t="s">
        <v>112</v>
      </c>
      <c r="B46" s="92" t="s">
        <v>115</v>
      </c>
      <c r="C46" s="92" t="s">
        <v>117</v>
      </c>
      <c r="D46" s="92" t="s">
        <v>116</v>
      </c>
      <c r="E46" s="93">
        <v>38130.79</v>
      </c>
      <c r="H46" s="92">
        <v>2007</v>
      </c>
      <c r="I46" s="92">
        <v>3</v>
      </c>
      <c r="J46" s="92">
        <v>2008</v>
      </c>
      <c r="K46" s="92">
        <v>2</v>
      </c>
      <c r="L46" s="93">
        <v>68598.622000000003</v>
      </c>
      <c r="N46" s="92">
        <v>2007</v>
      </c>
      <c r="O46" s="92">
        <v>3</v>
      </c>
      <c r="P46" s="92">
        <v>2008</v>
      </c>
      <c r="Q46" s="92">
        <v>2</v>
      </c>
      <c r="R46" s="93">
        <v>46906.25</v>
      </c>
    </row>
    <row r="47" spans="1:18" x14ac:dyDescent="0.15">
      <c r="A47" s="92" t="s">
        <v>112</v>
      </c>
      <c r="B47" s="92" t="s">
        <v>115</v>
      </c>
      <c r="C47" s="92" t="s">
        <v>118</v>
      </c>
      <c r="D47" s="92" t="s">
        <v>113</v>
      </c>
      <c r="E47" s="93">
        <v>38128.987999999998</v>
      </c>
      <c r="H47" s="92">
        <v>2007</v>
      </c>
      <c r="I47" s="92">
        <v>3</v>
      </c>
      <c r="J47" s="92">
        <v>2008</v>
      </c>
      <c r="K47" s="92">
        <v>3</v>
      </c>
      <c r="L47" s="93">
        <v>68283.813999999998</v>
      </c>
      <c r="N47" s="92">
        <v>2007</v>
      </c>
      <c r="O47" s="92">
        <v>3</v>
      </c>
      <c r="P47" s="92">
        <v>2008</v>
      </c>
      <c r="Q47" s="92">
        <v>3</v>
      </c>
      <c r="R47" s="93">
        <v>46736.25</v>
      </c>
    </row>
    <row r="48" spans="1:18" x14ac:dyDescent="0.15">
      <c r="A48" s="92" t="s">
        <v>112</v>
      </c>
      <c r="B48" s="92" t="s">
        <v>115</v>
      </c>
      <c r="C48" s="92" t="s">
        <v>118</v>
      </c>
      <c r="D48" s="92" t="s">
        <v>114</v>
      </c>
      <c r="E48" s="93">
        <v>38121.008999999998</v>
      </c>
      <c r="H48" s="92">
        <v>2007</v>
      </c>
      <c r="I48" s="92">
        <v>3</v>
      </c>
      <c r="J48" s="92">
        <v>2008</v>
      </c>
      <c r="K48" s="92">
        <v>4</v>
      </c>
      <c r="L48" s="93">
        <v>68262.146999999997</v>
      </c>
      <c r="N48" s="92">
        <v>2007</v>
      </c>
      <c r="O48" s="92">
        <v>3</v>
      </c>
      <c r="P48" s="92">
        <v>2008</v>
      </c>
      <c r="Q48" s="92">
        <v>4</v>
      </c>
      <c r="R48" s="93">
        <v>46738</v>
      </c>
    </row>
    <row r="49" spans="1:18" x14ac:dyDescent="0.15">
      <c r="A49" s="92" t="s">
        <v>112</v>
      </c>
      <c r="B49" s="92" t="s">
        <v>115</v>
      </c>
      <c r="C49" s="92" t="s">
        <v>118</v>
      </c>
      <c r="D49" s="92" t="s">
        <v>115</v>
      </c>
      <c r="E49" s="93">
        <v>38106.646000000001</v>
      </c>
      <c r="H49" s="92">
        <v>2007</v>
      </c>
      <c r="I49" s="92">
        <v>3</v>
      </c>
      <c r="J49" s="92">
        <v>2009</v>
      </c>
      <c r="K49" s="92">
        <v>1</v>
      </c>
      <c r="L49" s="93">
        <v>68256.104999999996</v>
      </c>
      <c r="N49" s="92">
        <v>2007</v>
      </c>
      <c r="O49" s="92">
        <v>3</v>
      </c>
      <c r="P49" s="92">
        <v>2009</v>
      </c>
      <c r="Q49" s="92">
        <v>1</v>
      </c>
      <c r="R49" s="93">
        <v>46739.833333333299</v>
      </c>
    </row>
    <row r="50" spans="1:18" x14ac:dyDescent="0.15">
      <c r="A50" s="92" t="s">
        <v>112</v>
      </c>
      <c r="B50" s="92" t="s">
        <v>115</v>
      </c>
      <c r="C50" s="92" t="s">
        <v>118</v>
      </c>
      <c r="D50" s="92" t="s">
        <v>116</v>
      </c>
      <c r="E50" s="93">
        <v>38148.839999999997</v>
      </c>
      <c r="H50" s="92">
        <v>2007</v>
      </c>
      <c r="I50" s="92">
        <v>3</v>
      </c>
      <c r="J50" s="92">
        <v>2009</v>
      </c>
      <c r="K50" s="92">
        <v>2</v>
      </c>
      <c r="L50" s="93">
        <v>68249.209000000003</v>
      </c>
      <c r="N50" s="92">
        <v>2007</v>
      </c>
      <c r="O50" s="92">
        <v>3</v>
      </c>
      <c r="P50" s="92">
        <v>2009</v>
      </c>
      <c r="Q50" s="92">
        <v>2</v>
      </c>
      <c r="R50" s="93">
        <v>46734.916666666599</v>
      </c>
    </row>
    <row r="51" spans="1:18" x14ac:dyDescent="0.15">
      <c r="A51" s="92" t="s">
        <v>112</v>
      </c>
      <c r="B51" s="92" t="s">
        <v>115</v>
      </c>
      <c r="C51" s="92" t="s">
        <v>119</v>
      </c>
      <c r="D51" s="92" t="s">
        <v>113</v>
      </c>
      <c r="E51" s="93">
        <v>38148.839999999997</v>
      </c>
      <c r="H51" s="92">
        <v>2007</v>
      </c>
      <c r="I51" s="92">
        <v>3</v>
      </c>
      <c r="J51" s="92">
        <v>2009</v>
      </c>
      <c r="K51" s="92">
        <v>3</v>
      </c>
      <c r="L51" s="93">
        <v>68245.373000000007</v>
      </c>
      <c r="N51" s="92">
        <v>2007</v>
      </c>
      <c r="O51" s="92">
        <v>3</v>
      </c>
      <c r="P51" s="92">
        <v>2009</v>
      </c>
      <c r="Q51" s="92">
        <v>3</v>
      </c>
      <c r="R51" s="93">
        <v>46731.833333333299</v>
      </c>
    </row>
    <row r="52" spans="1:18" x14ac:dyDescent="0.15">
      <c r="A52" s="92" t="s">
        <v>112</v>
      </c>
      <c r="B52" s="92" t="s">
        <v>115</v>
      </c>
      <c r="C52" s="92" t="s">
        <v>119</v>
      </c>
      <c r="D52" s="92" t="s">
        <v>114</v>
      </c>
      <c r="E52" s="93">
        <v>38148.839999999997</v>
      </c>
      <c r="H52" s="92">
        <v>2007</v>
      </c>
      <c r="I52" s="92">
        <v>3</v>
      </c>
      <c r="J52" s="92">
        <v>2009</v>
      </c>
      <c r="K52" s="92">
        <v>4</v>
      </c>
      <c r="L52" s="93">
        <v>67270.789999999994</v>
      </c>
      <c r="N52" s="92">
        <v>2007</v>
      </c>
      <c r="O52" s="92">
        <v>3</v>
      </c>
      <c r="P52" s="92">
        <v>2009</v>
      </c>
      <c r="Q52" s="92">
        <v>4</v>
      </c>
      <c r="R52" s="93">
        <v>45931.916666666599</v>
      </c>
    </row>
    <row r="53" spans="1:18" x14ac:dyDescent="0.15">
      <c r="A53" s="92" t="s">
        <v>112</v>
      </c>
      <c r="B53" s="92" t="s">
        <v>115</v>
      </c>
      <c r="C53" s="92" t="s">
        <v>119</v>
      </c>
      <c r="D53" s="92" t="s">
        <v>115</v>
      </c>
      <c r="E53" s="93">
        <v>38148.839999999997</v>
      </c>
      <c r="H53" s="92">
        <v>2007</v>
      </c>
      <c r="I53" s="92">
        <v>3</v>
      </c>
      <c r="J53" s="92">
        <v>2010</v>
      </c>
      <c r="K53" s="92">
        <v>1</v>
      </c>
      <c r="L53" s="93">
        <v>67270.789999999994</v>
      </c>
      <c r="N53" s="92">
        <v>2007</v>
      </c>
      <c r="O53" s="92">
        <v>3</v>
      </c>
      <c r="P53" s="92">
        <v>2010</v>
      </c>
      <c r="Q53" s="92">
        <v>1</v>
      </c>
      <c r="R53" s="93">
        <v>45931.916666666599</v>
      </c>
    </row>
    <row r="54" spans="1:18" x14ac:dyDescent="0.15">
      <c r="A54" s="92" t="s">
        <v>112</v>
      </c>
      <c r="B54" s="92" t="s">
        <v>115</v>
      </c>
      <c r="C54" s="92" t="s">
        <v>119</v>
      </c>
      <c r="D54" s="92" t="s">
        <v>116</v>
      </c>
      <c r="E54" s="93">
        <v>38148.839999999997</v>
      </c>
      <c r="H54" s="92">
        <v>2007</v>
      </c>
      <c r="I54" s="92">
        <v>3</v>
      </c>
      <c r="J54" s="92">
        <v>2010</v>
      </c>
      <c r="K54" s="92">
        <v>2</v>
      </c>
      <c r="L54" s="93">
        <v>67270.789999999994</v>
      </c>
      <c r="N54" s="92">
        <v>2007</v>
      </c>
      <c r="O54" s="92">
        <v>3</v>
      </c>
      <c r="P54" s="92">
        <v>2010</v>
      </c>
      <c r="Q54" s="92">
        <v>2</v>
      </c>
      <c r="R54" s="93">
        <v>45931.916666666599</v>
      </c>
    </row>
    <row r="55" spans="1:18" x14ac:dyDescent="0.15">
      <c r="A55" s="92" t="s">
        <v>112</v>
      </c>
      <c r="B55" s="92" t="s">
        <v>115</v>
      </c>
      <c r="C55" s="92" t="s">
        <v>120</v>
      </c>
      <c r="D55" s="92" t="s">
        <v>113</v>
      </c>
      <c r="E55" s="93">
        <v>38148.839999999997</v>
      </c>
      <c r="H55" s="92">
        <v>2007</v>
      </c>
      <c r="I55" s="92">
        <v>3</v>
      </c>
      <c r="J55" s="92">
        <v>2010</v>
      </c>
      <c r="K55" s="92">
        <v>3</v>
      </c>
      <c r="L55" s="93">
        <v>67270.789999999994</v>
      </c>
      <c r="N55" s="92">
        <v>2007</v>
      </c>
      <c r="O55" s="92">
        <v>3</v>
      </c>
      <c r="P55" s="92">
        <v>2010</v>
      </c>
      <c r="Q55" s="92">
        <v>3</v>
      </c>
      <c r="R55" s="93">
        <v>45931.916666666599</v>
      </c>
    </row>
    <row r="56" spans="1:18" x14ac:dyDescent="0.15">
      <c r="A56" s="92" t="s">
        <v>112</v>
      </c>
      <c r="B56" s="92" t="s">
        <v>115</v>
      </c>
      <c r="C56" s="92" t="s">
        <v>120</v>
      </c>
      <c r="D56" s="92" t="s">
        <v>114</v>
      </c>
      <c r="E56" s="93">
        <v>38148.839999999997</v>
      </c>
      <c r="H56" s="92">
        <v>2007</v>
      </c>
      <c r="I56" s="92">
        <v>3</v>
      </c>
      <c r="J56" s="92">
        <v>2010</v>
      </c>
      <c r="K56" s="92">
        <v>4</v>
      </c>
      <c r="L56" s="93">
        <v>67270.789999999994</v>
      </c>
      <c r="N56" s="92">
        <v>2007</v>
      </c>
      <c r="O56" s="92">
        <v>3</v>
      </c>
      <c r="P56" s="92">
        <v>2010</v>
      </c>
      <c r="Q56" s="92">
        <v>4</v>
      </c>
      <c r="R56" s="93">
        <v>45931.916666666599</v>
      </c>
    </row>
    <row r="57" spans="1:18" x14ac:dyDescent="0.15">
      <c r="A57" s="92" t="s">
        <v>112</v>
      </c>
      <c r="B57" s="92" t="s">
        <v>115</v>
      </c>
      <c r="C57" s="92" t="s">
        <v>120</v>
      </c>
      <c r="D57" s="92" t="s">
        <v>115</v>
      </c>
      <c r="E57" s="93">
        <v>38148.839999999997</v>
      </c>
      <c r="H57" s="92">
        <v>2007</v>
      </c>
      <c r="I57" s="92">
        <v>3</v>
      </c>
      <c r="J57" s="92">
        <v>2011</v>
      </c>
      <c r="K57" s="92">
        <v>1</v>
      </c>
      <c r="L57" s="93">
        <v>67270.789999999994</v>
      </c>
      <c r="N57" s="92">
        <v>2007</v>
      </c>
      <c r="O57" s="92">
        <v>3</v>
      </c>
      <c r="P57" s="92">
        <v>2011</v>
      </c>
      <c r="Q57" s="92">
        <v>1</v>
      </c>
      <c r="R57" s="93">
        <v>45931.916666666599</v>
      </c>
    </row>
    <row r="58" spans="1:18" x14ac:dyDescent="0.15">
      <c r="A58" s="92" t="s">
        <v>112</v>
      </c>
      <c r="B58" s="92" t="s">
        <v>115</v>
      </c>
      <c r="C58" s="92" t="s">
        <v>120</v>
      </c>
      <c r="D58" s="92" t="s">
        <v>116</v>
      </c>
      <c r="E58" s="93">
        <v>38148.839999999997</v>
      </c>
      <c r="H58" s="92">
        <v>2007</v>
      </c>
      <c r="I58" s="92">
        <v>3</v>
      </c>
      <c r="J58" s="92">
        <v>2011</v>
      </c>
      <c r="K58" s="92">
        <v>2</v>
      </c>
      <c r="L58" s="93">
        <v>67270.789999999994</v>
      </c>
      <c r="N58" s="92">
        <v>2007</v>
      </c>
      <c r="O58" s="92">
        <v>3</v>
      </c>
      <c r="P58" s="92">
        <v>2011</v>
      </c>
      <c r="Q58" s="92">
        <v>2</v>
      </c>
      <c r="R58" s="93">
        <v>45931.916666666599</v>
      </c>
    </row>
    <row r="59" spans="1:18" x14ac:dyDescent="0.15">
      <c r="A59" s="92" t="s">
        <v>112</v>
      </c>
      <c r="B59" s="92" t="s">
        <v>116</v>
      </c>
      <c r="C59" s="92" t="s">
        <v>112</v>
      </c>
      <c r="D59" s="92" t="s">
        <v>116</v>
      </c>
      <c r="E59" s="93">
        <v>37555.718000000001</v>
      </c>
      <c r="H59" s="92">
        <v>2007</v>
      </c>
      <c r="I59" s="92">
        <v>3</v>
      </c>
      <c r="J59" s="92">
        <v>2011</v>
      </c>
      <c r="K59" s="92">
        <v>3</v>
      </c>
      <c r="L59" s="93">
        <v>67270.789999999994</v>
      </c>
      <c r="N59" s="92">
        <v>2007</v>
      </c>
      <c r="O59" s="92">
        <v>3</v>
      </c>
      <c r="P59" s="92">
        <v>2011</v>
      </c>
      <c r="Q59" s="92">
        <v>3</v>
      </c>
      <c r="R59" s="93">
        <v>45931.916666666599</v>
      </c>
    </row>
    <row r="60" spans="1:18" x14ac:dyDescent="0.15">
      <c r="A60" s="92" t="s">
        <v>112</v>
      </c>
      <c r="B60" s="92" t="s">
        <v>116</v>
      </c>
      <c r="C60" s="92" t="s">
        <v>117</v>
      </c>
      <c r="D60" s="92" t="s">
        <v>113</v>
      </c>
      <c r="E60" s="93">
        <v>35903.947999999997</v>
      </c>
      <c r="H60" s="92">
        <v>2007</v>
      </c>
      <c r="I60" s="92">
        <v>3</v>
      </c>
      <c r="J60" s="92">
        <v>2011</v>
      </c>
      <c r="K60" s="92">
        <v>4</v>
      </c>
      <c r="L60" s="93">
        <v>67270.789999999994</v>
      </c>
      <c r="N60" s="92">
        <v>2007</v>
      </c>
      <c r="O60" s="92">
        <v>3</v>
      </c>
      <c r="P60" s="92">
        <v>2011</v>
      </c>
      <c r="Q60" s="92">
        <v>4</v>
      </c>
      <c r="R60" s="93">
        <v>45931.916666666599</v>
      </c>
    </row>
    <row r="61" spans="1:18" x14ac:dyDescent="0.15">
      <c r="A61" s="92" t="s">
        <v>112</v>
      </c>
      <c r="B61" s="92" t="s">
        <v>116</v>
      </c>
      <c r="C61" s="92" t="s">
        <v>117</v>
      </c>
      <c r="D61" s="92" t="s">
        <v>114</v>
      </c>
      <c r="E61" s="93">
        <v>34113.194000000003</v>
      </c>
      <c r="H61" s="92">
        <v>2007</v>
      </c>
      <c r="I61" s="92">
        <v>4</v>
      </c>
      <c r="J61" s="92">
        <v>2007</v>
      </c>
      <c r="K61" s="92">
        <v>3</v>
      </c>
      <c r="L61" s="93">
        <v>614.97400000000005</v>
      </c>
      <c r="N61" s="92">
        <v>2007</v>
      </c>
      <c r="O61" s="92">
        <v>4</v>
      </c>
      <c r="P61" s="92">
        <v>2007</v>
      </c>
      <c r="Q61" s="92">
        <v>3</v>
      </c>
      <c r="R61" s="93">
        <v>557</v>
      </c>
    </row>
    <row r="62" spans="1:18" x14ac:dyDescent="0.15">
      <c r="A62" s="92" t="s">
        <v>112</v>
      </c>
      <c r="B62" s="92" t="s">
        <v>116</v>
      </c>
      <c r="C62" s="92" t="s">
        <v>117</v>
      </c>
      <c r="D62" s="92" t="s">
        <v>115</v>
      </c>
      <c r="E62" s="93">
        <v>33700.317000000003</v>
      </c>
      <c r="H62" s="92">
        <v>2007</v>
      </c>
      <c r="I62" s="92">
        <v>4</v>
      </c>
      <c r="J62" s="92">
        <v>2007</v>
      </c>
      <c r="K62" s="92">
        <v>4</v>
      </c>
      <c r="L62" s="93">
        <v>64943.445</v>
      </c>
      <c r="N62" s="92">
        <v>2007</v>
      </c>
      <c r="O62" s="92">
        <v>4</v>
      </c>
      <c r="P62" s="92">
        <v>2007</v>
      </c>
      <c r="Q62" s="92">
        <v>4</v>
      </c>
      <c r="R62" s="93">
        <v>43538.333333333299</v>
      </c>
    </row>
    <row r="63" spans="1:18" x14ac:dyDescent="0.15">
      <c r="A63" s="92" t="s">
        <v>112</v>
      </c>
      <c r="B63" s="92" t="s">
        <v>116</v>
      </c>
      <c r="C63" s="92" t="s">
        <v>117</v>
      </c>
      <c r="D63" s="92" t="s">
        <v>116</v>
      </c>
      <c r="E63" s="93">
        <v>33645.896000000001</v>
      </c>
      <c r="H63" s="92">
        <v>2007</v>
      </c>
      <c r="I63" s="92">
        <v>4</v>
      </c>
      <c r="J63" s="92">
        <v>2008</v>
      </c>
      <c r="K63" s="92">
        <v>1</v>
      </c>
      <c r="L63" s="93">
        <v>62934.845999999998</v>
      </c>
      <c r="N63" s="92">
        <v>2007</v>
      </c>
      <c r="O63" s="92">
        <v>4</v>
      </c>
      <c r="P63" s="92">
        <v>2008</v>
      </c>
      <c r="Q63" s="92">
        <v>1</v>
      </c>
      <c r="R63" s="93">
        <v>42575.25</v>
      </c>
    </row>
    <row r="64" spans="1:18" x14ac:dyDescent="0.15">
      <c r="A64" s="92" t="s">
        <v>112</v>
      </c>
      <c r="B64" s="92" t="s">
        <v>116</v>
      </c>
      <c r="C64" s="92" t="s">
        <v>118</v>
      </c>
      <c r="D64" s="92" t="s">
        <v>113</v>
      </c>
      <c r="E64" s="93">
        <v>33651.012999999999</v>
      </c>
      <c r="H64" s="92">
        <v>2007</v>
      </c>
      <c r="I64" s="92">
        <v>4</v>
      </c>
      <c r="J64" s="92">
        <v>2008</v>
      </c>
      <c r="K64" s="92">
        <v>2</v>
      </c>
      <c r="L64" s="93">
        <v>60342.273000000001</v>
      </c>
      <c r="N64" s="92">
        <v>2007</v>
      </c>
      <c r="O64" s="92">
        <v>4</v>
      </c>
      <c r="P64" s="92">
        <v>2008</v>
      </c>
      <c r="Q64" s="92">
        <v>2</v>
      </c>
      <c r="R64" s="93">
        <v>41037.833333333299</v>
      </c>
    </row>
    <row r="65" spans="1:18" x14ac:dyDescent="0.15">
      <c r="A65" s="92" t="s">
        <v>112</v>
      </c>
      <c r="B65" s="92" t="s">
        <v>116</v>
      </c>
      <c r="C65" s="92" t="s">
        <v>118</v>
      </c>
      <c r="D65" s="92" t="s">
        <v>114</v>
      </c>
      <c r="E65" s="93">
        <v>33638.470999999998</v>
      </c>
      <c r="H65" s="92">
        <v>2007</v>
      </c>
      <c r="I65" s="92">
        <v>4</v>
      </c>
      <c r="J65" s="92">
        <v>2008</v>
      </c>
      <c r="K65" s="92">
        <v>3</v>
      </c>
      <c r="L65" s="93">
        <v>59196.449000000001</v>
      </c>
      <c r="N65" s="92">
        <v>2007</v>
      </c>
      <c r="O65" s="92">
        <v>4</v>
      </c>
      <c r="P65" s="92">
        <v>2008</v>
      </c>
      <c r="Q65" s="92">
        <v>3</v>
      </c>
      <c r="R65" s="93">
        <v>40409.333333333299</v>
      </c>
    </row>
    <row r="66" spans="1:18" x14ac:dyDescent="0.15">
      <c r="A66" s="92" t="s">
        <v>112</v>
      </c>
      <c r="B66" s="92" t="s">
        <v>116</v>
      </c>
      <c r="C66" s="92" t="s">
        <v>118</v>
      </c>
      <c r="D66" s="92" t="s">
        <v>115</v>
      </c>
      <c r="E66" s="93">
        <v>33638.413999999997</v>
      </c>
      <c r="H66" s="92">
        <v>2007</v>
      </c>
      <c r="I66" s="92">
        <v>4</v>
      </c>
      <c r="J66" s="92">
        <v>2008</v>
      </c>
      <c r="K66" s="92">
        <v>4</v>
      </c>
      <c r="L66" s="93">
        <v>58951.675999999999</v>
      </c>
      <c r="N66" s="92">
        <v>2007</v>
      </c>
      <c r="O66" s="92">
        <v>4</v>
      </c>
      <c r="P66" s="92">
        <v>2008</v>
      </c>
      <c r="Q66" s="92">
        <v>4</v>
      </c>
      <c r="R66" s="93">
        <v>40266.583333333299</v>
      </c>
    </row>
    <row r="67" spans="1:18" x14ac:dyDescent="0.15">
      <c r="A67" s="92" t="s">
        <v>112</v>
      </c>
      <c r="B67" s="92" t="s">
        <v>116</v>
      </c>
      <c r="C67" s="92" t="s">
        <v>118</v>
      </c>
      <c r="D67" s="92" t="s">
        <v>116</v>
      </c>
      <c r="E67" s="93">
        <v>33605.374000000003</v>
      </c>
      <c r="H67" s="92">
        <v>2007</v>
      </c>
      <c r="I67" s="92">
        <v>4</v>
      </c>
      <c r="J67" s="92">
        <v>2009</v>
      </c>
      <c r="K67" s="92">
        <v>1</v>
      </c>
      <c r="L67" s="93">
        <v>58953.233</v>
      </c>
      <c r="N67" s="92">
        <v>2007</v>
      </c>
      <c r="O67" s="92">
        <v>4</v>
      </c>
      <c r="P67" s="92">
        <v>2009</v>
      </c>
      <c r="Q67" s="92">
        <v>1</v>
      </c>
      <c r="R67" s="93">
        <v>40267.916666666599</v>
      </c>
    </row>
    <row r="68" spans="1:18" x14ac:dyDescent="0.15">
      <c r="A68" s="92" t="s">
        <v>112</v>
      </c>
      <c r="B68" s="92" t="s">
        <v>116</v>
      </c>
      <c r="C68" s="92" t="s">
        <v>119</v>
      </c>
      <c r="D68" s="92" t="s">
        <v>113</v>
      </c>
      <c r="E68" s="93">
        <v>33605.374000000003</v>
      </c>
      <c r="H68" s="92">
        <v>2007</v>
      </c>
      <c r="I68" s="92">
        <v>4</v>
      </c>
      <c r="J68" s="92">
        <v>2009</v>
      </c>
      <c r="K68" s="92">
        <v>2</v>
      </c>
      <c r="L68" s="93">
        <v>58944.37</v>
      </c>
      <c r="N68" s="92">
        <v>2007</v>
      </c>
      <c r="O68" s="92">
        <v>4</v>
      </c>
      <c r="P68" s="92">
        <v>2009</v>
      </c>
      <c r="Q68" s="92">
        <v>2</v>
      </c>
      <c r="R68" s="93">
        <v>40265.583333333299</v>
      </c>
    </row>
    <row r="69" spans="1:18" x14ac:dyDescent="0.15">
      <c r="A69" s="92" t="s">
        <v>112</v>
      </c>
      <c r="B69" s="92" t="s">
        <v>116</v>
      </c>
      <c r="C69" s="92" t="s">
        <v>119</v>
      </c>
      <c r="D69" s="92" t="s">
        <v>114</v>
      </c>
      <c r="E69" s="93">
        <v>33605.374000000003</v>
      </c>
      <c r="H69" s="92">
        <v>2007</v>
      </c>
      <c r="I69" s="92">
        <v>4</v>
      </c>
      <c r="J69" s="92">
        <v>2009</v>
      </c>
      <c r="K69" s="92">
        <v>3</v>
      </c>
      <c r="L69" s="93">
        <v>58943.014999999999</v>
      </c>
      <c r="N69" s="92">
        <v>2007</v>
      </c>
      <c r="O69" s="92">
        <v>4</v>
      </c>
      <c r="P69" s="92">
        <v>2009</v>
      </c>
      <c r="Q69" s="92">
        <v>3</v>
      </c>
      <c r="R69" s="93">
        <v>40262.666666666599</v>
      </c>
    </row>
    <row r="70" spans="1:18" x14ac:dyDescent="0.15">
      <c r="A70" s="92" t="s">
        <v>112</v>
      </c>
      <c r="B70" s="92" t="s">
        <v>116</v>
      </c>
      <c r="C70" s="92" t="s">
        <v>119</v>
      </c>
      <c r="D70" s="92" t="s">
        <v>115</v>
      </c>
      <c r="E70" s="93">
        <v>33605.374000000003</v>
      </c>
      <c r="H70" s="92">
        <v>2007</v>
      </c>
      <c r="I70" s="92">
        <v>4</v>
      </c>
      <c r="J70" s="92">
        <v>2009</v>
      </c>
      <c r="K70" s="92">
        <v>4</v>
      </c>
      <c r="L70" s="93">
        <v>58045.552000000003</v>
      </c>
      <c r="N70" s="92">
        <v>2007</v>
      </c>
      <c r="O70" s="92">
        <v>4</v>
      </c>
      <c r="P70" s="92">
        <v>2009</v>
      </c>
      <c r="Q70" s="92">
        <v>4</v>
      </c>
      <c r="R70" s="93">
        <v>39554.5</v>
      </c>
    </row>
    <row r="71" spans="1:18" x14ac:dyDescent="0.15">
      <c r="A71" s="92" t="s">
        <v>112</v>
      </c>
      <c r="B71" s="92" t="s">
        <v>116</v>
      </c>
      <c r="C71" s="92" t="s">
        <v>119</v>
      </c>
      <c r="D71" s="92" t="s">
        <v>116</v>
      </c>
      <c r="E71" s="93">
        <v>33605.374000000003</v>
      </c>
      <c r="H71" s="92">
        <v>2007</v>
      </c>
      <c r="I71" s="92">
        <v>4</v>
      </c>
      <c r="J71" s="92">
        <v>2010</v>
      </c>
      <c r="K71" s="92">
        <v>1</v>
      </c>
      <c r="L71" s="93">
        <v>58045.552000000003</v>
      </c>
      <c r="N71" s="92">
        <v>2007</v>
      </c>
      <c r="O71" s="92">
        <v>4</v>
      </c>
      <c r="P71" s="92">
        <v>2010</v>
      </c>
      <c r="Q71" s="92">
        <v>1</v>
      </c>
      <c r="R71" s="93">
        <v>39554.5</v>
      </c>
    </row>
    <row r="72" spans="1:18" x14ac:dyDescent="0.15">
      <c r="A72" s="92" t="s">
        <v>112</v>
      </c>
      <c r="B72" s="92" t="s">
        <v>116</v>
      </c>
      <c r="C72" s="92" t="s">
        <v>120</v>
      </c>
      <c r="D72" s="92" t="s">
        <v>113</v>
      </c>
      <c r="E72" s="93">
        <v>33605.374000000003</v>
      </c>
      <c r="H72" s="92">
        <v>2007</v>
      </c>
      <c r="I72" s="92">
        <v>4</v>
      </c>
      <c r="J72" s="92">
        <v>2010</v>
      </c>
      <c r="K72" s="92">
        <v>2</v>
      </c>
      <c r="L72" s="93">
        <v>58045.552000000003</v>
      </c>
      <c r="N72" s="92">
        <v>2007</v>
      </c>
      <c r="O72" s="92">
        <v>4</v>
      </c>
      <c r="P72" s="92">
        <v>2010</v>
      </c>
      <c r="Q72" s="92">
        <v>2</v>
      </c>
      <c r="R72" s="93">
        <v>39554.5</v>
      </c>
    </row>
    <row r="73" spans="1:18" x14ac:dyDescent="0.15">
      <c r="A73" s="92" t="s">
        <v>112</v>
      </c>
      <c r="B73" s="92" t="s">
        <v>116</v>
      </c>
      <c r="C73" s="92" t="s">
        <v>120</v>
      </c>
      <c r="D73" s="92" t="s">
        <v>114</v>
      </c>
      <c r="E73" s="93">
        <v>33605.374000000003</v>
      </c>
      <c r="H73" s="92">
        <v>2007</v>
      </c>
      <c r="I73" s="92">
        <v>4</v>
      </c>
      <c r="J73" s="92">
        <v>2010</v>
      </c>
      <c r="K73" s="92">
        <v>3</v>
      </c>
      <c r="L73" s="93">
        <v>58045.552000000003</v>
      </c>
      <c r="N73" s="92">
        <v>2007</v>
      </c>
      <c r="O73" s="92">
        <v>4</v>
      </c>
      <c r="P73" s="92">
        <v>2010</v>
      </c>
      <c r="Q73" s="92">
        <v>3</v>
      </c>
      <c r="R73" s="93">
        <v>39554.5</v>
      </c>
    </row>
    <row r="74" spans="1:18" x14ac:dyDescent="0.15">
      <c r="A74" s="92" t="s">
        <v>112</v>
      </c>
      <c r="B74" s="92" t="s">
        <v>116</v>
      </c>
      <c r="C74" s="92" t="s">
        <v>120</v>
      </c>
      <c r="D74" s="92" t="s">
        <v>115</v>
      </c>
      <c r="E74" s="93">
        <v>33605.374000000003</v>
      </c>
      <c r="H74" s="92">
        <v>2007</v>
      </c>
      <c r="I74" s="92">
        <v>4</v>
      </c>
      <c r="J74" s="92">
        <v>2010</v>
      </c>
      <c r="K74" s="92">
        <v>4</v>
      </c>
      <c r="L74" s="93">
        <v>58045.552000000003</v>
      </c>
      <c r="N74" s="92">
        <v>2007</v>
      </c>
      <c r="O74" s="92">
        <v>4</v>
      </c>
      <c r="P74" s="92">
        <v>2010</v>
      </c>
      <c r="Q74" s="92">
        <v>4</v>
      </c>
      <c r="R74" s="93">
        <v>39554.5</v>
      </c>
    </row>
    <row r="75" spans="1:18" x14ac:dyDescent="0.15">
      <c r="A75" s="92" t="s">
        <v>112</v>
      </c>
      <c r="B75" s="92" t="s">
        <v>116</v>
      </c>
      <c r="C75" s="92" t="s">
        <v>120</v>
      </c>
      <c r="D75" s="92" t="s">
        <v>116</v>
      </c>
      <c r="E75" s="93">
        <v>33605.374000000003</v>
      </c>
      <c r="H75" s="92">
        <v>2007</v>
      </c>
      <c r="I75" s="92">
        <v>4</v>
      </c>
      <c r="J75" s="92">
        <v>2011</v>
      </c>
      <c r="K75" s="92">
        <v>1</v>
      </c>
      <c r="L75" s="93">
        <v>58045.552000000003</v>
      </c>
      <c r="N75" s="92">
        <v>2007</v>
      </c>
      <c r="O75" s="92">
        <v>4</v>
      </c>
      <c r="P75" s="92">
        <v>2011</v>
      </c>
      <c r="Q75" s="92">
        <v>1</v>
      </c>
      <c r="R75" s="93">
        <v>39554.5</v>
      </c>
    </row>
    <row r="76" spans="1:18" x14ac:dyDescent="0.15">
      <c r="A76" s="92" t="s">
        <v>117</v>
      </c>
      <c r="B76" s="92" t="s">
        <v>113</v>
      </c>
      <c r="C76" s="92" t="s">
        <v>117</v>
      </c>
      <c r="D76" s="92" t="s">
        <v>113</v>
      </c>
      <c r="E76" s="93">
        <v>39204.186999999998</v>
      </c>
      <c r="H76" s="92">
        <v>2007</v>
      </c>
      <c r="I76" s="92">
        <v>4</v>
      </c>
      <c r="J76" s="92">
        <v>2011</v>
      </c>
      <c r="K76" s="92">
        <v>2</v>
      </c>
      <c r="L76" s="93">
        <v>58045.552000000003</v>
      </c>
      <c r="N76" s="92">
        <v>2007</v>
      </c>
      <c r="O76" s="92">
        <v>4</v>
      </c>
      <c r="P76" s="92">
        <v>2011</v>
      </c>
      <c r="Q76" s="92">
        <v>2</v>
      </c>
      <c r="R76" s="93">
        <v>39554.5</v>
      </c>
    </row>
    <row r="77" spans="1:18" x14ac:dyDescent="0.15">
      <c r="A77" s="92" t="s">
        <v>117</v>
      </c>
      <c r="B77" s="92" t="s">
        <v>113</v>
      </c>
      <c r="C77" s="92" t="s">
        <v>117</v>
      </c>
      <c r="D77" s="92" t="s">
        <v>114</v>
      </c>
      <c r="E77" s="93">
        <v>37870.500999999997</v>
      </c>
      <c r="H77" s="92">
        <v>2007</v>
      </c>
      <c r="I77" s="92">
        <v>4</v>
      </c>
      <c r="J77" s="92">
        <v>2011</v>
      </c>
      <c r="K77" s="92">
        <v>3</v>
      </c>
      <c r="L77" s="93">
        <v>58045.552000000003</v>
      </c>
      <c r="N77" s="92">
        <v>2007</v>
      </c>
      <c r="O77" s="92">
        <v>4</v>
      </c>
      <c r="P77" s="92">
        <v>2011</v>
      </c>
      <c r="Q77" s="92">
        <v>3</v>
      </c>
      <c r="R77" s="93">
        <v>39554.5</v>
      </c>
    </row>
    <row r="78" spans="1:18" x14ac:dyDescent="0.15">
      <c r="A78" s="92" t="s">
        <v>117</v>
      </c>
      <c r="B78" s="92" t="s">
        <v>113</v>
      </c>
      <c r="C78" s="92" t="s">
        <v>117</v>
      </c>
      <c r="D78" s="92" t="s">
        <v>115</v>
      </c>
      <c r="E78" s="93">
        <v>36583.997000000003</v>
      </c>
      <c r="H78" s="92">
        <v>2007</v>
      </c>
      <c r="I78" s="92">
        <v>4</v>
      </c>
      <c r="J78" s="92">
        <v>2011</v>
      </c>
      <c r="K78" s="92">
        <v>4</v>
      </c>
      <c r="L78" s="93">
        <v>58045.552000000003</v>
      </c>
      <c r="N78" s="92">
        <v>2007</v>
      </c>
      <c r="O78" s="92">
        <v>4</v>
      </c>
      <c r="P78" s="92">
        <v>2011</v>
      </c>
      <c r="Q78" s="92">
        <v>4</v>
      </c>
      <c r="R78" s="93">
        <v>39554.5</v>
      </c>
    </row>
    <row r="79" spans="1:18" x14ac:dyDescent="0.15">
      <c r="A79" s="92" t="s">
        <v>117</v>
      </c>
      <c r="B79" s="92" t="s">
        <v>113</v>
      </c>
      <c r="C79" s="92" t="s">
        <v>117</v>
      </c>
      <c r="D79" s="92" t="s">
        <v>116</v>
      </c>
      <c r="E79" s="93">
        <v>36257.283000000003</v>
      </c>
      <c r="H79" s="92">
        <v>2008</v>
      </c>
      <c r="I79" s="92">
        <v>1</v>
      </c>
      <c r="J79" s="92">
        <v>2008</v>
      </c>
      <c r="K79" s="92">
        <v>1</v>
      </c>
      <c r="L79" s="93">
        <v>69660.523000000001</v>
      </c>
      <c r="N79" s="92">
        <v>2008</v>
      </c>
      <c r="O79" s="92">
        <v>1</v>
      </c>
      <c r="P79" s="92">
        <v>2008</v>
      </c>
      <c r="Q79" s="92">
        <v>1</v>
      </c>
      <c r="R79" s="93">
        <v>47050.916666666599</v>
      </c>
    </row>
    <row r="80" spans="1:18" x14ac:dyDescent="0.15">
      <c r="A80" s="92" t="s">
        <v>117</v>
      </c>
      <c r="B80" s="92" t="s">
        <v>113</v>
      </c>
      <c r="C80" s="92" t="s">
        <v>118</v>
      </c>
      <c r="D80" s="92" t="s">
        <v>113</v>
      </c>
      <c r="E80" s="93">
        <v>35984.107000000004</v>
      </c>
      <c r="H80" s="92">
        <v>2008</v>
      </c>
      <c r="I80" s="92">
        <v>1</v>
      </c>
      <c r="J80" s="92">
        <v>2008</v>
      </c>
      <c r="K80" s="92">
        <v>2</v>
      </c>
      <c r="L80" s="93">
        <v>67295.702000000005</v>
      </c>
      <c r="N80" s="92">
        <v>2008</v>
      </c>
      <c r="O80" s="92">
        <v>1</v>
      </c>
      <c r="P80" s="92">
        <v>2008</v>
      </c>
      <c r="Q80" s="92">
        <v>2</v>
      </c>
      <c r="R80" s="93">
        <v>45910.75</v>
      </c>
    </row>
    <row r="81" spans="1:18" x14ac:dyDescent="0.15">
      <c r="A81" s="92" t="s">
        <v>117</v>
      </c>
      <c r="B81" s="92" t="s">
        <v>113</v>
      </c>
      <c r="C81" s="92" t="s">
        <v>118</v>
      </c>
      <c r="D81" s="92" t="s">
        <v>114</v>
      </c>
      <c r="E81" s="93">
        <v>35970.883000000002</v>
      </c>
      <c r="H81" s="92">
        <v>2008</v>
      </c>
      <c r="I81" s="92">
        <v>1</v>
      </c>
      <c r="J81" s="92">
        <v>2008</v>
      </c>
      <c r="K81" s="92">
        <v>3</v>
      </c>
      <c r="L81" s="93">
        <v>63376.137999999999</v>
      </c>
      <c r="N81" s="92">
        <v>2008</v>
      </c>
      <c r="O81" s="92">
        <v>1</v>
      </c>
      <c r="P81" s="92">
        <v>2008</v>
      </c>
      <c r="Q81" s="92">
        <v>3</v>
      </c>
      <c r="R81" s="93">
        <v>43568.5</v>
      </c>
    </row>
    <row r="82" spans="1:18" x14ac:dyDescent="0.15">
      <c r="A82" s="92" t="s">
        <v>117</v>
      </c>
      <c r="B82" s="92" t="s">
        <v>113</v>
      </c>
      <c r="C82" s="92" t="s">
        <v>118</v>
      </c>
      <c r="D82" s="92" t="s">
        <v>115</v>
      </c>
      <c r="E82" s="93">
        <v>35951.754000000001</v>
      </c>
      <c r="H82" s="92">
        <v>2008</v>
      </c>
      <c r="I82" s="92">
        <v>1</v>
      </c>
      <c r="J82" s="92">
        <v>2008</v>
      </c>
      <c r="K82" s="92">
        <v>4</v>
      </c>
      <c r="L82" s="93">
        <v>62182.197999999997</v>
      </c>
      <c r="N82" s="92">
        <v>2008</v>
      </c>
      <c r="O82" s="92">
        <v>1</v>
      </c>
      <c r="P82" s="92">
        <v>2008</v>
      </c>
      <c r="Q82" s="92">
        <v>4</v>
      </c>
      <c r="R82" s="93">
        <v>42932.25</v>
      </c>
    </row>
    <row r="83" spans="1:18" x14ac:dyDescent="0.15">
      <c r="A83" s="92" t="s">
        <v>117</v>
      </c>
      <c r="B83" s="92" t="s">
        <v>113</v>
      </c>
      <c r="C83" s="92" t="s">
        <v>118</v>
      </c>
      <c r="D83" s="92" t="s">
        <v>116</v>
      </c>
      <c r="E83" s="93">
        <v>35951.286999999997</v>
      </c>
      <c r="H83" s="92">
        <v>2008</v>
      </c>
      <c r="I83" s="92">
        <v>1</v>
      </c>
      <c r="J83" s="92">
        <v>2009</v>
      </c>
      <c r="K83" s="92">
        <v>1</v>
      </c>
      <c r="L83" s="93">
        <v>61958.677000000003</v>
      </c>
      <c r="N83" s="92">
        <v>2008</v>
      </c>
      <c r="O83" s="92">
        <v>1</v>
      </c>
      <c r="P83" s="92">
        <v>2009</v>
      </c>
      <c r="Q83" s="92">
        <v>1</v>
      </c>
      <c r="R83" s="93">
        <v>42824.416666666599</v>
      </c>
    </row>
    <row r="84" spans="1:18" x14ac:dyDescent="0.15">
      <c r="A84" s="92" t="s">
        <v>117</v>
      </c>
      <c r="B84" s="92" t="s">
        <v>113</v>
      </c>
      <c r="C84" s="92" t="s">
        <v>119</v>
      </c>
      <c r="D84" s="92" t="s">
        <v>113</v>
      </c>
      <c r="E84" s="93">
        <v>35949.112999999998</v>
      </c>
      <c r="H84" s="92">
        <v>2008</v>
      </c>
      <c r="I84" s="92">
        <v>1</v>
      </c>
      <c r="J84" s="92">
        <v>2009</v>
      </c>
      <c r="K84" s="92">
        <v>2</v>
      </c>
      <c r="L84" s="93">
        <v>61933.913999999997</v>
      </c>
      <c r="N84" s="92">
        <v>2008</v>
      </c>
      <c r="O84" s="92">
        <v>1</v>
      </c>
      <c r="P84" s="92">
        <v>2009</v>
      </c>
      <c r="Q84" s="92">
        <v>2</v>
      </c>
      <c r="R84" s="93">
        <v>42818.166666666599</v>
      </c>
    </row>
    <row r="85" spans="1:18" x14ac:dyDescent="0.15">
      <c r="A85" s="92" t="s">
        <v>117</v>
      </c>
      <c r="B85" s="92" t="s">
        <v>113</v>
      </c>
      <c r="C85" s="92" t="s">
        <v>119</v>
      </c>
      <c r="D85" s="92" t="s">
        <v>114</v>
      </c>
      <c r="E85" s="93">
        <v>35948.591999999997</v>
      </c>
      <c r="H85" s="92">
        <v>2008</v>
      </c>
      <c r="I85" s="92">
        <v>1</v>
      </c>
      <c r="J85" s="92">
        <v>2009</v>
      </c>
      <c r="K85" s="92">
        <v>3</v>
      </c>
      <c r="L85" s="93">
        <v>61924.036999999997</v>
      </c>
      <c r="N85" s="92">
        <v>2008</v>
      </c>
      <c r="O85" s="92">
        <v>1</v>
      </c>
      <c r="P85" s="92">
        <v>2009</v>
      </c>
      <c r="Q85" s="92">
        <v>3</v>
      </c>
      <c r="R85" s="93">
        <v>42815.833333333299</v>
      </c>
    </row>
    <row r="86" spans="1:18" x14ac:dyDescent="0.15">
      <c r="A86" s="92" t="s">
        <v>117</v>
      </c>
      <c r="B86" s="92" t="s">
        <v>113</v>
      </c>
      <c r="C86" s="92" t="s">
        <v>119</v>
      </c>
      <c r="D86" s="92" t="s">
        <v>115</v>
      </c>
      <c r="E86" s="93">
        <v>35947.553999999996</v>
      </c>
      <c r="H86" s="92">
        <v>2008</v>
      </c>
      <c r="I86" s="92">
        <v>1</v>
      </c>
      <c r="J86" s="92">
        <v>2009</v>
      </c>
      <c r="K86" s="92">
        <v>4</v>
      </c>
      <c r="L86" s="93">
        <v>61918.504000000001</v>
      </c>
      <c r="N86" s="92">
        <v>2008</v>
      </c>
      <c r="O86" s="92">
        <v>1</v>
      </c>
      <c r="P86" s="92">
        <v>2009</v>
      </c>
      <c r="Q86" s="92">
        <v>4</v>
      </c>
      <c r="R86" s="93">
        <v>42813.416666666599</v>
      </c>
    </row>
    <row r="87" spans="1:18" x14ac:dyDescent="0.15">
      <c r="A87" s="92" t="s">
        <v>117</v>
      </c>
      <c r="B87" s="92" t="s">
        <v>113</v>
      </c>
      <c r="C87" s="92" t="s">
        <v>119</v>
      </c>
      <c r="D87" s="92" t="s">
        <v>116</v>
      </c>
      <c r="E87" s="93">
        <v>35947.553999999996</v>
      </c>
      <c r="H87" s="92">
        <v>2008</v>
      </c>
      <c r="I87" s="92">
        <v>1</v>
      </c>
      <c r="J87" s="92">
        <v>2010</v>
      </c>
      <c r="K87" s="92">
        <v>1</v>
      </c>
      <c r="L87" s="93">
        <v>61909.750999999997</v>
      </c>
      <c r="N87" s="92">
        <v>2008</v>
      </c>
      <c r="O87" s="92">
        <v>1</v>
      </c>
      <c r="P87" s="92">
        <v>2010</v>
      </c>
      <c r="Q87" s="92">
        <v>1</v>
      </c>
      <c r="R87" s="93">
        <v>42811.75</v>
      </c>
    </row>
    <row r="88" spans="1:18" x14ac:dyDescent="0.15">
      <c r="A88" s="92" t="s">
        <v>117</v>
      </c>
      <c r="B88" s="92" t="s">
        <v>113</v>
      </c>
      <c r="C88" s="92" t="s">
        <v>120</v>
      </c>
      <c r="D88" s="92" t="s">
        <v>113</v>
      </c>
      <c r="E88" s="93">
        <v>35947.553999999996</v>
      </c>
      <c r="H88" s="92">
        <v>2008</v>
      </c>
      <c r="I88" s="92">
        <v>1</v>
      </c>
      <c r="J88" s="92">
        <v>2010</v>
      </c>
      <c r="K88" s="92">
        <v>2</v>
      </c>
      <c r="L88" s="93">
        <v>61150.976999999999</v>
      </c>
      <c r="N88" s="92">
        <v>2008</v>
      </c>
      <c r="O88" s="92">
        <v>1</v>
      </c>
      <c r="P88" s="92">
        <v>2010</v>
      </c>
      <c r="Q88" s="92">
        <v>2</v>
      </c>
      <c r="R88" s="93">
        <v>42141.416666666599</v>
      </c>
    </row>
    <row r="89" spans="1:18" x14ac:dyDescent="0.15">
      <c r="A89" s="92" t="s">
        <v>117</v>
      </c>
      <c r="B89" s="92" t="s">
        <v>113</v>
      </c>
      <c r="C89" s="92" t="s">
        <v>120</v>
      </c>
      <c r="D89" s="92" t="s">
        <v>114</v>
      </c>
      <c r="E89" s="93">
        <v>35947.553999999996</v>
      </c>
      <c r="H89" s="92">
        <v>2008</v>
      </c>
      <c r="I89" s="92">
        <v>1</v>
      </c>
      <c r="J89" s="92">
        <v>2010</v>
      </c>
      <c r="K89" s="92">
        <v>3</v>
      </c>
      <c r="L89" s="93">
        <v>61127.396000000001</v>
      </c>
      <c r="N89" s="92">
        <v>2008</v>
      </c>
      <c r="O89" s="92">
        <v>1</v>
      </c>
      <c r="P89" s="92">
        <v>2010</v>
      </c>
      <c r="Q89" s="92">
        <v>3</v>
      </c>
      <c r="R89" s="93">
        <v>42136.666666666599</v>
      </c>
    </row>
    <row r="90" spans="1:18" x14ac:dyDescent="0.15">
      <c r="A90" s="92" t="s">
        <v>117</v>
      </c>
      <c r="B90" s="92" t="s">
        <v>113</v>
      </c>
      <c r="C90" s="92" t="s">
        <v>120</v>
      </c>
      <c r="D90" s="92" t="s">
        <v>115</v>
      </c>
      <c r="E90" s="93">
        <v>35947.553999999996</v>
      </c>
      <c r="H90" s="92">
        <v>2008</v>
      </c>
      <c r="I90" s="92">
        <v>1</v>
      </c>
      <c r="J90" s="92">
        <v>2010</v>
      </c>
      <c r="K90" s="92">
        <v>4</v>
      </c>
      <c r="L90" s="93">
        <v>61126.21</v>
      </c>
      <c r="N90" s="92">
        <v>2008</v>
      </c>
      <c r="O90" s="92">
        <v>1</v>
      </c>
      <c r="P90" s="92">
        <v>2010</v>
      </c>
      <c r="Q90" s="92">
        <v>4</v>
      </c>
      <c r="R90" s="93">
        <v>42133.833333333299</v>
      </c>
    </row>
    <row r="91" spans="1:18" x14ac:dyDescent="0.15">
      <c r="A91" s="92" t="s">
        <v>117</v>
      </c>
      <c r="B91" s="92" t="s">
        <v>113</v>
      </c>
      <c r="C91" s="92" t="s">
        <v>120</v>
      </c>
      <c r="D91" s="92" t="s">
        <v>116</v>
      </c>
      <c r="E91" s="93">
        <v>35947.553999999996</v>
      </c>
      <c r="H91" s="92">
        <v>2008</v>
      </c>
      <c r="I91" s="92">
        <v>1</v>
      </c>
      <c r="J91" s="92">
        <v>2011</v>
      </c>
      <c r="K91" s="92">
        <v>1</v>
      </c>
      <c r="L91" s="93">
        <v>61126.21</v>
      </c>
      <c r="N91" s="92">
        <v>2008</v>
      </c>
      <c r="O91" s="92">
        <v>1</v>
      </c>
      <c r="P91" s="92">
        <v>2011</v>
      </c>
      <c r="Q91" s="92">
        <v>1</v>
      </c>
      <c r="R91" s="93">
        <v>42133.833333333299</v>
      </c>
    </row>
    <row r="92" spans="1:18" x14ac:dyDescent="0.15">
      <c r="A92" s="92" t="s">
        <v>117</v>
      </c>
      <c r="B92" s="92" t="s">
        <v>114</v>
      </c>
      <c r="C92" s="92" t="s">
        <v>117</v>
      </c>
      <c r="D92" s="92" t="s">
        <v>114</v>
      </c>
      <c r="E92" s="93">
        <v>35275.32</v>
      </c>
      <c r="H92" s="92">
        <v>2008</v>
      </c>
      <c r="I92" s="92">
        <v>1</v>
      </c>
      <c r="J92" s="92">
        <v>2011</v>
      </c>
      <c r="K92" s="92">
        <v>2</v>
      </c>
      <c r="L92" s="93">
        <v>61126.21</v>
      </c>
      <c r="N92" s="92">
        <v>2008</v>
      </c>
      <c r="O92" s="92">
        <v>1</v>
      </c>
      <c r="P92" s="92">
        <v>2011</v>
      </c>
      <c r="Q92" s="92">
        <v>2</v>
      </c>
      <c r="R92" s="93">
        <v>42133.833333333299</v>
      </c>
    </row>
    <row r="93" spans="1:18" x14ac:dyDescent="0.15">
      <c r="A93" s="92" t="s">
        <v>117</v>
      </c>
      <c r="B93" s="92" t="s">
        <v>114</v>
      </c>
      <c r="C93" s="92" t="s">
        <v>117</v>
      </c>
      <c r="D93" s="92" t="s">
        <v>115</v>
      </c>
      <c r="E93" s="93">
        <v>34133.917999999998</v>
      </c>
      <c r="H93" s="92">
        <v>2008</v>
      </c>
      <c r="I93" s="92">
        <v>1</v>
      </c>
      <c r="J93" s="92">
        <v>2011</v>
      </c>
      <c r="K93" s="92">
        <v>3</v>
      </c>
      <c r="L93" s="93">
        <v>61126.21</v>
      </c>
      <c r="N93" s="92">
        <v>2008</v>
      </c>
      <c r="O93" s="92">
        <v>1</v>
      </c>
      <c r="P93" s="92">
        <v>2011</v>
      </c>
      <c r="Q93" s="92">
        <v>3</v>
      </c>
      <c r="R93" s="93">
        <v>42133.833333333299</v>
      </c>
    </row>
    <row r="94" spans="1:18" x14ac:dyDescent="0.15">
      <c r="A94" s="92" t="s">
        <v>117</v>
      </c>
      <c r="B94" s="92" t="s">
        <v>114</v>
      </c>
      <c r="C94" s="92" t="s">
        <v>117</v>
      </c>
      <c r="D94" s="92" t="s">
        <v>116</v>
      </c>
      <c r="E94" s="93">
        <v>32936.1</v>
      </c>
      <c r="H94" s="92">
        <v>2008</v>
      </c>
      <c r="I94" s="92">
        <v>1</v>
      </c>
      <c r="J94" s="92">
        <v>2011</v>
      </c>
      <c r="K94" s="92">
        <v>4</v>
      </c>
      <c r="L94" s="93">
        <v>61126.21</v>
      </c>
      <c r="N94" s="92">
        <v>2008</v>
      </c>
      <c r="O94" s="92">
        <v>1</v>
      </c>
      <c r="P94" s="92">
        <v>2011</v>
      </c>
      <c r="Q94" s="92">
        <v>4</v>
      </c>
      <c r="R94" s="93">
        <v>42133.833333333299</v>
      </c>
    </row>
    <row r="95" spans="1:18" x14ac:dyDescent="0.15">
      <c r="A95" s="92" t="s">
        <v>117</v>
      </c>
      <c r="B95" s="92" t="s">
        <v>114</v>
      </c>
      <c r="C95" s="92" t="s">
        <v>118</v>
      </c>
      <c r="D95" s="92" t="s">
        <v>113</v>
      </c>
      <c r="E95" s="93">
        <v>32408.317999999999</v>
      </c>
      <c r="H95" s="92">
        <v>2008</v>
      </c>
      <c r="I95" s="92">
        <v>2</v>
      </c>
      <c r="J95" s="92">
        <v>2008</v>
      </c>
      <c r="K95" s="92">
        <v>1</v>
      </c>
      <c r="L95" s="93">
        <v>269.286</v>
      </c>
      <c r="N95" s="92">
        <v>2008</v>
      </c>
      <c r="O95" s="92">
        <v>2</v>
      </c>
      <c r="P95" s="92">
        <v>2008</v>
      </c>
      <c r="Q95" s="92">
        <v>1</v>
      </c>
      <c r="R95" s="93">
        <v>269</v>
      </c>
    </row>
    <row r="96" spans="1:18" x14ac:dyDescent="0.15">
      <c r="A96" s="92" t="s">
        <v>117</v>
      </c>
      <c r="B96" s="92" t="s">
        <v>114</v>
      </c>
      <c r="C96" s="92" t="s">
        <v>118</v>
      </c>
      <c r="D96" s="92" t="s">
        <v>114</v>
      </c>
      <c r="E96" s="93">
        <v>32238.563999999998</v>
      </c>
      <c r="H96" s="92">
        <v>2008</v>
      </c>
      <c r="I96" s="92">
        <v>2</v>
      </c>
      <c r="J96" s="92">
        <v>2008</v>
      </c>
      <c r="K96" s="92">
        <v>2</v>
      </c>
      <c r="L96" s="93">
        <v>41445.589</v>
      </c>
      <c r="N96" s="92">
        <v>2008</v>
      </c>
      <c r="O96" s="92">
        <v>2</v>
      </c>
      <c r="P96" s="92">
        <v>2008</v>
      </c>
      <c r="Q96" s="92">
        <v>2</v>
      </c>
      <c r="R96" s="93">
        <v>31117.916666666599</v>
      </c>
    </row>
    <row r="97" spans="1:18" x14ac:dyDescent="0.15">
      <c r="A97" s="92" t="s">
        <v>117</v>
      </c>
      <c r="B97" s="92" t="s">
        <v>114</v>
      </c>
      <c r="C97" s="92" t="s">
        <v>118</v>
      </c>
      <c r="D97" s="92" t="s">
        <v>115</v>
      </c>
      <c r="E97" s="93">
        <v>32250.532999999999</v>
      </c>
      <c r="H97" s="92">
        <v>2008</v>
      </c>
      <c r="I97" s="92">
        <v>2</v>
      </c>
      <c r="J97" s="92">
        <v>2008</v>
      </c>
      <c r="K97" s="92">
        <v>3</v>
      </c>
      <c r="L97" s="93">
        <v>38785.207000000002</v>
      </c>
      <c r="N97" s="92">
        <v>2008</v>
      </c>
      <c r="O97" s="92">
        <v>2</v>
      </c>
      <c r="P97" s="92">
        <v>2008</v>
      </c>
      <c r="Q97" s="92">
        <v>3</v>
      </c>
      <c r="R97" s="93">
        <v>29882.583333333299</v>
      </c>
    </row>
    <row r="98" spans="1:18" x14ac:dyDescent="0.15">
      <c r="A98" s="92" t="s">
        <v>117</v>
      </c>
      <c r="B98" s="92" t="s">
        <v>114</v>
      </c>
      <c r="C98" s="92" t="s">
        <v>118</v>
      </c>
      <c r="D98" s="92" t="s">
        <v>116</v>
      </c>
      <c r="E98" s="93">
        <v>32247.724999999999</v>
      </c>
      <c r="H98" s="92">
        <v>2008</v>
      </c>
      <c r="I98" s="92">
        <v>2</v>
      </c>
      <c r="J98" s="92">
        <v>2008</v>
      </c>
      <c r="K98" s="92">
        <v>4</v>
      </c>
      <c r="L98" s="93">
        <v>36848.607000000004</v>
      </c>
      <c r="N98" s="92">
        <v>2008</v>
      </c>
      <c r="O98" s="92">
        <v>2</v>
      </c>
      <c r="P98" s="92">
        <v>2008</v>
      </c>
      <c r="Q98" s="92">
        <v>4</v>
      </c>
      <c r="R98" s="93">
        <v>28478.833333333299</v>
      </c>
    </row>
    <row r="99" spans="1:18" x14ac:dyDescent="0.15">
      <c r="A99" s="92" t="s">
        <v>117</v>
      </c>
      <c r="B99" s="92" t="s">
        <v>114</v>
      </c>
      <c r="C99" s="92" t="s">
        <v>119</v>
      </c>
      <c r="D99" s="92" t="s">
        <v>113</v>
      </c>
      <c r="E99" s="93">
        <v>32252.415000000001</v>
      </c>
      <c r="H99" s="92">
        <v>2008</v>
      </c>
      <c r="I99" s="92">
        <v>2</v>
      </c>
      <c r="J99" s="92">
        <v>2009</v>
      </c>
      <c r="K99" s="92">
        <v>1</v>
      </c>
      <c r="L99" s="93">
        <v>36418.03</v>
      </c>
      <c r="N99" s="92">
        <v>2008</v>
      </c>
      <c r="O99" s="92">
        <v>2</v>
      </c>
      <c r="P99" s="92">
        <v>2009</v>
      </c>
      <c r="Q99" s="92">
        <v>1</v>
      </c>
      <c r="R99" s="93">
        <v>28242.833333333299</v>
      </c>
    </row>
    <row r="100" spans="1:18" x14ac:dyDescent="0.15">
      <c r="A100" s="92" t="s">
        <v>117</v>
      </c>
      <c r="B100" s="92" t="s">
        <v>114</v>
      </c>
      <c r="C100" s="92" t="s">
        <v>119</v>
      </c>
      <c r="D100" s="92" t="s">
        <v>114</v>
      </c>
      <c r="E100" s="93">
        <v>32234.062000000002</v>
      </c>
      <c r="H100" s="92">
        <v>2008</v>
      </c>
      <c r="I100" s="92">
        <v>2</v>
      </c>
      <c r="J100" s="92">
        <v>2009</v>
      </c>
      <c r="K100" s="92">
        <v>2</v>
      </c>
      <c r="L100" s="93">
        <v>36292.947</v>
      </c>
      <c r="N100" s="92">
        <v>2008</v>
      </c>
      <c r="O100" s="92">
        <v>2</v>
      </c>
      <c r="P100" s="92">
        <v>2009</v>
      </c>
      <c r="Q100" s="92">
        <v>2</v>
      </c>
      <c r="R100" s="93">
        <v>28183.916666666599</v>
      </c>
    </row>
    <row r="101" spans="1:18" x14ac:dyDescent="0.15">
      <c r="A101" s="92" t="s">
        <v>117</v>
      </c>
      <c r="B101" s="92" t="s">
        <v>114</v>
      </c>
      <c r="C101" s="92" t="s">
        <v>119</v>
      </c>
      <c r="D101" s="92" t="s">
        <v>115</v>
      </c>
      <c r="E101" s="93">
        <v>32231.391</v>
      </c>
      <c r="H101" s="92">
        <v>2008</v>
      </c>
      <c r="I101" s="92">
        <v>2</v>
      </c>
      <c r="J101" s="92">
        <v>2009</v>
      </c>
      <c r="K101" s="92">
        <v>3</v>
      </c>
      <c r="L101" s="93">
        <v>36276.004999999997</v>
      </c>
      <c r="N101" s="92">
        <v>2008</v>
      </c>
      <c r="O101" s="92">
        <v>2</v>
      </c>
      <c r="P101" s="92">
        <v>2009</v>
      </c>
      <c r="Q101" s="92">
        <v>3</v>
      </c>
      <c r="R101" s="93">
        <v>28181.666666666599</v>
      </c>
    </row>
    <row r="102" spans="1:18" x14ac:dyDescent="0.15">
      <c r="A102" s="92" t="s">
        <v>117</v>
      </c>
      <c r="B102" s="92" t="s">
        <v>114</v>
      </c>
      <c r="C102" s="92" t="s">
        <v>119</v>
      </c>
      <c r="D102" s="92" t="s">
        <v>116</v>
      </c>
      <c r="E102" s="93">
        <v>32231.391</v>
      </c>
      <c r="H102" s="92">
        <v>2008</v>
      </c>
      <c r="I102" s="92">
        <v>2</v>
      </c>
      <c r="J102" s="92">
        <v>2009</v>
      </c>
      <c r="K102" s="92">
        <v>4</v>
      </c>
      <c r="L102" s="93">
        <v>36280.175000000003</v>
      </c>
      <c r="N102" s="92">
        <v>2008</v>
      </c>
      <c r="O102" s="92">
        <v>2</v>
      </c>
      <c r="P102" s="92">
        <v>2009</v>
      </c>
      <c r="Q102" s="92">
        <v>4</v>
      </c>
      <c r="R102" s="93">
        <v>28181.333333333299</v>
      </c>
    </row>
    <row r="103" spans="1:18" x14ac:dyDescent="0.15">
      <c r="A103" s="92" t="s">
        <v>117</v>
      </c>
      <c r="B103" s="92" t="s">
        <v>114</v>
      </c>
      <c r="C103" s="92" t="s">
        <v>120</v>
      </c>
      <c r="D103" s="92" t="s">
        <v>113</v>
      </c>
      <c r="E103" s="93">
        <v>32231.391</v>
      </c>
      <c r="H103" s="92">
        <v>2008</v>
      </c>
      <c r="I103" s="92">
        <v>2</v>
      </c>
      <c r="J103" s="92">
        <v>2010</v>
      </c>
      <c r="K103" s="92">
        <v>1</v>
      </c>
      <c r="L103" s="93">
        <v>36272.309000000001</v>
      </c>
      <c r="N103" s="92">
        <v>2008</v>
      </c>
      <c r="O103" s="92">
        <v>2</v>
      </c>
      <c r="P103" s="92">
        <v>2010</v>
      </c>
      <c r="Q103" s="92">
        <v>1</v>
      </c>
      <c r="R103" s="93">
        <v>28180.916666666599</v>
      </c>
    </row>
    <row r="104" spans="1:18" x14ac:dyDescent="0.15">
      <c r="A104" s="92" t="s">
        <v>117</v>
      </c>
      <c r="B104" s="92" t="s">
        <v>114</v>
      </c>
      <c r="C104" s="92" t="s">
        <v>120</v>
      </c>
      <c r="D104" s="92" t="s">
        <v>114</v>
      </c>
      <c r="E104" s="93">
        <v>32231.391</v>
      </c>
      <c r="H104" s="92">
        <v>2008</v>
      </c>
      <c r="I104" s="92">
        <v>2</v>
      </c>
      <c r="J104" s="92">
        <v>2010</v>
      </c>
      <c r="K104" s="92">
        <v>2</v>
      </c>
      <c r="L104" s="93">
        <v>35375.930999999997</v>
      </c>
      <c r="N104" s="92">
        <v>2008</v>
      </c>
      <c r="O104" s="92">
        <v>2</v>
      </c>
      <c r="P104" s="92">
        <v>2010</v>
      </c>
      <c r="Q104" s="92">
        <v>2</v>
      </c>
      <c r="R104" s="93">
        <v>27415.083333333299</v>
      </c>
    </row>
    <row r="105" spans="1:18" x14ac:dyDescent="0.15">
      <c r="A105" s="92" t="s">
        <v>117</v>
      </c>
      <c r="B105" s="92" t="s">
        <v>114</v>
      </c>
      <c r="C105" s="92" t="s">
        <v>120</v>
      </c>
      <c r="D105" s="92" t="s">
        <v>115</v>
      </c>
      <c r="E105" s="93">
        <v>32231.391</v>
      </c>
      <c r="H105" s="92">
        <v>2008</v>
      </c>
      <c r="I105" s="92">
        <v>2</v>
      </c>
      <c r="J105" s="92">
        <v>2010</v>
      </c>
      <c r="K105" s="92">
        <v>3</v>
      </c>
      <c r="L105" s="93">
        <v>35371.430999999997</v>
      </c>
      <c r="N105" s="92">
        <v>2008</v>
      </c>
      <c r="O105" s="92">
        <v>2</v>
      </c>
      <c r="P105" s="92">
        <v>2010</v>
      </c>
      <c r="Q105" s="92">
        <v>3</v>
      </c>
      <c r="R105" s="93">
        <v>27416</v>
      </c>
    </row>
    <row r="106" spans="1:18" x14ac:dyDescent="0.15">
      <c r="A106" s="92" t="s">
        <v>117</v>
      </c>
      <c r="B106" s="92" t="s">
        <v>114</v>
      </c>
      <c r="C106" s="92" t="s">
        <v>120</v>
      </c>
      <c r="D106" s="92" t="s">
        <v>116</v>
      </c>
      <c r="E106" s="93">
        <v>32231.391</v>
      </c>
      <c r="H106" s="92">
        <v>2008</v>
      </c>
      <c r="I106" s="92">
        <v>2</v>
      </c>
      <c r="J106" s="92">
        <v>2010</v>
      </c>
      <c r="K106" s="92">
        <v>4</v>
      </c>
      <c r="L106" s="93">
        <v>35372.531000000003</v>
      </c>
      <c r="N106" s="92">
        <v>2008</v>
      </c>
      <c r="O106" s="92">
        <v>2</v>
      </c>
      <c r="P106" s="92">
        <v>2010</v>
      </c>
      <c r="Q106" s="92">
        <v>4</v>
      </c>
      <c r="R106" s="93">
        <v>27416.5</v>
      </c>
    </row>
    <row r="107" spans="1:18" x14ac:dyDescent="0.15">
      <c r="A107" s="92" t="s">
        <v>117</v>
      </c>
      <c r="B107" s="92" t="s">
        <v>115</v>
      </c>
      <c r="C107" s="92" t="s">
        <v>117</v>
      </c>
      <c r="D107" s="92" t="s">
        <v>115</v>
      </c>
      <c r="E107" s="93">
        <v>32526.347000000002</v>
      </c>
      <c r="H107" s="92">
        <v>2008</v>
      </c>
      <c r="I107" s="92">
        <v>2</v>
      </c>
      <c r="J107" s="92">
        <v>2011</v>
      </c>
      <c r="K107" s="92">
        <v>1</v>
      </c>
      <c r="L107" s="93">
        <v>35372.531000000003</v>
      </c>
      <c r="N107" s="92">
        <v>2008</v>
      </c>
      <c r="O107" s="92">
        <v>2</v>
      </c>
      <c r="P107" s="92">
        <v>2011</v>
      </c>
      <c r="Q107" s="92">
        <v>1</v>
      </c>
      <c r="R107" s="93">
        <v>27416.5</v>
      </c>
    </row>
    <row r="108" spans="1:18" x14ac:dyDescent="0.15">
      <c r="A108" s="92" t="s">
        <v>117</v>
      </c>
      <c r="B108" s="92" t="s">
        <v>115</v>
      </c>
      <c r="C108" s="92" t="s">
        <v>117</v>
      </c>
      <c r="D108" s="92" t="s">
        <v>116</v>
      </c>
      <c r="E108" s="93">
        <v>30772.991000000002</v>
      </c>
      <c r="H108" s="92">
        <v>2008</v>
      </c>
      <c r="I108" s="92">
        <v>2</v>
      </c>
      <c r="J108" s="92">
        <v>2011</v>
      </c>
      <c r="K108" s="92">
        <v>2</v>
      </c>
      <c r="L108" s="93">
        <v>35372.531000000003</v>
      </c>
      <c r="N108" s="92">
        <v>2008</v>
      </c>
      <c r="O108" s="92">
        <v>2</v>
      </c>
      <c r="P108" s="92">
        <v>2011</v>
      </c>
      <c r="Q108" s="92">
        <v>2</v>
      </c>
      <c r="R108" s="93">
        <v>27416.5</v>
      </c>
    </row>
    <row r="109" spans="1:18" x14ac:dyDescent="0.15">
      <c r="A109" s="92" t="s">
        <v>117</v>
      </c>
      <c r="B109" s="92" t="s">
        <v>115</v>
      </c>
      <c r="C109" s="92" t="s">
        <v>118</v>
      </c>
      <c r="D109" s="92" t="s">
        <v>113</v>
      </c>
      <c r="E109" s="93">
        <v>29878.519</v>
      </c>
      <c r="H109" s="92">
        <v>2008</v>
      </c>
      <c r="I109" s="92">
        <v>2</v>
      </c>
      <c r="J109" s="92">
        <v>2011</v>
      </c>
      <c r="K109" s="92">
        <v>3</v>
      </c>
      <c r="L109" s="93">
        <v>35372.531000000003</v>
      </c>
      <c r="N109" s="92">
        <v>2008</v>
      </c>
      <c r="O109" s="92">
        <v>2</v>
      </c>
      <c r="P109" s="92">
        <v>2011</v>
      </c>
      <c r="Q109" s="92">
        <v>3</v>
      </c>
      <c r="R109" s="93">
        <v>27416.5</v>
      </c>
    </row>
    <row r="110" spans="1:18" x14ac:dyDescent="0.15">
      <c r="A110" s="92" t="s">
        <v>117</v>
      </c>
      <c r="B110" s="92" t="s">
        <v>115</v>
      </c>
      <c r="C110" s="92" t="s">
        <v>118</v>
      </c>
      <c r="D110" s="92" t="s">
        <v>114</v>
      </c>
      <c r="E110" s="93">
        <v>29479.100999999999</v>
      </c>
      <c r="H110" s="92">
        <v>2008</v>
      </c>
      <c r="I110" s="92">
        <v>2</v>
      </c>
      <c r="J110" s="92">
        <v>2011</v>
      </c>
      <c r="K110" s="92">
        <v>4</v>
      </c>
      <c r="L110" s="93">
        <v>35372.531000000003</v>
      </c>
      <c r="N110" s="92">
        <v>2008</v>
      </c>
      <c r="O110" s="92">
        <v>2</v>
      </c>
      <c r="P110" s="92">
        <v>2011</v>
      </c>
      <c r="Q110" s="92">
        <v>4</v>
      </c>
      <c r="R110" s="93">
        <v>27416.5</v>
      </c>
    </row>
    <row r="111" spans="1:18" x14ac:dyDescent="0.15">
      <c r="A111" s="92" t="s">
        <v>117</v>
      </c>
      <c r="B111" s="92" t="s">
        <v>115</v>
      </c>
      <c r="C111" s="92" t="s">
        <v>118</v>
      </c>
      <c r="D111" s="92" t="s">
        <v>115</v>
      </c>
      <c r="E111" s="93">
        <v>29311.738000000001</v>
      </c>
      <c r="H111" s="92">
        <v>2008</v>
      </c>
      <c r="I111" s="92">
        <v>3</v>
      </c>
      <c r="J111" s="92">
        <v>2008</v>
      </c>
      <c r="K111" s="92">
        <v>2</v>
      </c>
      <c r="L111" s="93">
        <v>839.03599999999994</v>
      </c>
      <c r="N111" s="92">
        <v>2008</v>
      </c>
      <c r="O111" s="92">
        <v>3</v>
      </c>
      <c r="P111" s="92">
        <v>2008</v>
      </c>
      <c r="Q111" s="92">
        <v>2</v>
      </c>
      <c r="R111" s="93">
        <v>779</v>
      </c>
    </row>
    <row r="112" spans="1:18" x14ac:dyDescent="0.15">
      <c r="A112" s="92" t="s">
        <v>117</v>
      </c>
      <c r="B112" s="92" t="s">
        <v>115</v>
      </c>
      <c r="C112" s="92" t="s">
        <v>118</v>
      </c>
      <c r="D112" s="92" t="s">
        <v>116</v>
      </c>
      <c r="E112" s="93">
        <v>29214.565999999999</v>
      </c>
      <c r="H112" s="92">
        <v>2008</v>
      </c>
      <c r="I112" s="92">
        <v>3</v>
      </c>
      <c r="J112" s="92">
        <v>2008</v>
      </c>
      <c r="K112" s="92">
        <v>3</v>
      </c>
      <c r="L112" s="93">
        <v>34659.728999999999</v>
      </c>
      <c r="N112" s="92">
        <v>2008</v>
      </c>
      <c r="O112" s="92">
        <v>3</v>
      </c>
      <c r="P112" s="92">
        <v>2008</v>
      </c>
      <c r="Q112" s="92">
        <v>3</v>
      </c>
      <c r="R112" s="93">
        <v>26497.416666666599</v>
      </c>
    </row>
    <row r="113" spans="1:18" x14ac:dyDescent="0.15">
      <c r="A113" s="92" t="s">
        <v>117</v>
      </c>
      <c r="B113" s="92" t="s">
        <v>115</v>
      </c>
      <c r="C113" s="92" t="s">
        <v>119</v>
      </c>
      <c r="D113" s="92" t="s">
        <v>113</v>
      </c>
      <c r="E113" s="93">
        <v>29211.048999999999</v>
      </c>
      <c r="H113" s="92">
        <v>2008</v>
      </c>
      <c r="I113" s="92">
        <v>3</v>
      </c>
      <c r="J113" s="92">
        <v>2008</v>
      </c>
      <c r="K113" s="92">
        <v>4</v>
      </c>
      <c r="L113" s="93">
        <v>32522.525000000001</v>
      </c>
      <c r="N113" s="92">
        <v>2008</v>
      </c>
      <c r="O113" s="92">
        <v>3</v>
      </c>
      <c r="P113" s="92">
        <v>2008</v>
      </c>
      <c r="Q113" s="92">
        <v>4</v>
      </c>
      <c r="R113" s="93">
        <v>25158.666666666599</v>
      </c>
    </row>
    <row r="114" spans="1:18" x14ac:dyDescent="0.15">
      <c r="A114" s="92" t="s">
        <v>117</v>
      </c>
      <c r="B114" s="92" t="s">
        <v>115</v>
      </c>
      <c r="C114" s="92" t="s">
        <v>119</v>
      </c>
      <c r="D114" s="92" t="s">
        <v>114</v>
      </c>
      <c r="E114" s="93">
        <v>29207.920999999998</v>
      </c>
      <c r="H114" s="92">
        <v>2008</v>
      </c>
      <c r="I114" s="92">
        <v>3</v>
      </c>
      <c r="J114" s="92">
        <v>2009</v>
      </c>
      <c r="K114" s="92">
        <v>1</v>
      </c>
      <c r="L114" s="93">
        <v>31344.284</v>
      </c>
      <c r="N114" s="92">
        <v>2008</v>
      </c>
      <c r="O114" s="92">
        <v>3</v>
      </c>
      <c r="P114" s="92">
        <v>2009</v>
      </c>
      <c r="Q114" s="92">
        <v>1</v>
      </c>
      <c r="R114" s="93">
        <v>24395.083333333299</v>
      </c>
    </row>
    <row r="115" spans="1:18" x14ac:dyDescent="0.15">
      <c r="A115" s="92" t="s">
        <v>117</v>
      </c>
      <c r="B115" s="92" t="s">
        <v>115</v>
      </c>
      <c r="C115" s="92" t="s">
        <v>119</v>
      </c>
      <c r="D115" s="92" t="s">
        <v>115</v>
      </c>
      <c r="E115" s="93">
        <v>29207.076000000001</v>
      </c>
      <c r="H115" s="92">
        <v>2008</v>
      </c>
      <c r="I115" s="92">
        <v>3</v>
      </c>
      <c r="J115" s="92">
        <v>2009</v>
      </c>
      <c r="K115" s="92">
        <v>2</v>
      </c>
      <c r="L115" s="93">
        <v>30903.239000000001</v>
      </c>
      <c r="N115" s="92">
        <v>2008</v>
      </c>
      <c r="O115" s="92">
        <v>3</v>
      </c>
      <c r="P115" s="92">
        <v>2009</v>
      </c>
      <c r="Q115" s="92">
        <v>2</v>
      </c>
      <c r="R115" s="93">
        <v>24090.416666666599</v>
      </c>
    </row>
    <row r="116" spans="1:18" x14ac:dyDescent="0.15">
      <c r="A116" s="92" t="s">
        <v>117</v>
      </c>
      <c r="B116" s="92" t="s">
        <v>115</v>
      </c>
      <c r="C116" s="92" t="s">
        <v>119</v>
      </c>
      <c r="D116" s="92" t="s">
        <v>116</v>
      </c>
      <c r="E116" s="93">
        <v>29201.061000000002</v>
      </c>
      <c r="H116" s="92">
        <v>2008</v>
      </c>
      <c r="I116" s="92">
        <v>3</v>
      </c>
      <c r="J116" s="92">
        <v>2009</v>
      </c>
      <c r="K116" s="92">
        <v>3</v>
      </c>
      <c r="L116" s="93">
        <v>30790.309000000001</v>
      </c>
      <c r="N116" s="92">
        <v>2008</v>
      </c>
      <c r="O116" s="92">
        <v>3</v>
      </c>
      <c r="P116" s="92">
        <v>2009</v>
      </c>
      <c r="Q116" s="92">
        <v>3</v>
      </c>
      <c r="R116" s="93">
        <v>24019.333333333299</v>
      </c>
    </row>
    <row r="117" spans="1:18" x14ac:dyDescent="0.15">
      <c r="A117" s="92" t="s">
        <v>117</v>
      </c>
      <c r="B117" s="92" t="s">
        <v>115</v>
      </c>
      <c r="C117" s="92" t="s">
        <v>120</v>
      </c>
      <c r="D117" s="92" t="s">
        <v>113</v>
      </c>
      <c r="E117" s="93">
        <v>29201.061000000002</v>
      </c>
      <c r="H117" s="92">
        <v>2008</v>
      </c>
      <c r="I117" s="92">
        <v>3</v>
      </c>
      <c r="J117" s="92">
        <v>2009</v>
      </c>
      <c r="K117" s="92">
        <v>4</v>
      </c>
      <c r="L117" s="93">
        <v>30791.776000000002</v>
      </c>
      <c r="N117" s="92">
        <v>2008</v>
      </c>
      <c r="O117" s="92">
        <v>3</v>
      </c>
      <c r="P117" s="92">
        <v>2009</v>
      </c>
      <c r="Q117" s="92">
        <v>4</v>
      </c>
      <c r="R117" s="93">
        <v>24022.583333333299</v>
      </c>
    </row>
    <row r="118" spans="1:18" x14ac:dyDescent="0.15">
      <c r="A118" s="92" t="s">
        <v>117</v>
      </c>
      <c r="B118" s="92" t="s">
        <v>115</v>
      </c>
      <c r="C118" s="92" t="s">
        <v>120</v>
      </c>
      <c r="D118" s="92" t="s">
        <v>114</v>
      </c>
      <c r="E118" s="93">
        <v>29201.061000000002</v>
      </c>
      <c r="H118" s="92">
        <v>2008</v>
      </c>
      <c r="I118" s="92">
        <v>3</v>
      </c>
      <c r="J118" s="92">
        <v>2010</v>
      </c>
      <c r="K118" s="92">
        <v>1</v>
      </c>
      <c r="L118" s="93">
        <v>30788.275000000001</v>
      </c>
      <c r="N118" s="92">
        <v>2008</v>
      </c>
      <c r="O118" s="92">
        <v>3</v>
      </c>
      <c r="P118" s="92">
        <v>2010</v>
      </c>
      <c r="Q118" s="92">
        <v>1</v>
      </c>
      <c r="R118" s="93">
        <v>24021.916666666599</v>
      </c>
    </row>
    <row r="119" spans="1:18" x14ac:dyDescent="0.15">
      <c r="A119" s="92" t="s">
        <v>117</v>
      </c>
      <c r="B119" s="92" t="s">
        <v>115</v>
      </c>
      <c r="C119" s="92" t="s">
        <v>120</v>
      </c>
      <c r="D119" s="92" t="s">
        <v>115</v>
      </c>
      <c r="E119" s="93">
        <v>29201.061000000002</v>
      </c>
      <c r="H119" s="92">
        <v>2008</v>
      </c>
      <c r="I119" s="92">
        <v>3</v>
      </c>
      <c r="J119" s="92">
        <v>2010</v>
      </c>
      <c r="K119" s="92">
        <v>2</v>
      </c>
      <c r="L119" s="93">
        <v>29848.127</v>
      </c>
      <c r="N119" s="92">
        <v>2008</v>
      </c>
      <c r="O119" s="92">
        <v>3</v>
      </c>
      <c r="P119" s="92">
        <v>2010</v>
      </c>
      <c r="Q119" s="92">
        <v>2</v>
      </c>
      <c r="R119" s="93">
        <v>23238.333333333299</v>
      </c>
    </row>
    <row r="120" spans="1:18" x14ac:dyDescent="0.15">
      <c r="A120" s="92" t="s">
        <v>117</v>
      </c>
      <c r="B120" s="92" t="s">
        <v>115</v>
      </c>
      <c r="C120" s="92" t="s">
        <v>120</v>
      </c>
      <c r="D120" s="92" t="s">
        <v>116</v>
      </c>
      <c r="E120" s="93">
        <v>29201.061000000002</v>
      </c>
      <c r="H120" s="92">
        <v>2008</v>
      </c>
      <c r="I120" s="92">
        <v>3</v>
      </c>
      <c r="J120" s="92">
        <v>2010</v>
      </c>
      <c r="K120" s="92">
        <v>3</v>
      </c>
      <c r="L120" s="93">
        <v>29840.812999999998</v>
      </c>
      <c r="N120" s="92">
        <v>2008</v>
      </c>
      <c r="O120" s="92">
        <v>3</v>
      </c>
      <c r="P120" s="92">
        <v>2010</v>
      </c>
      <c r="Q120" s="92">
        <v>3</v>
      </c>
      <c r="R120" s="93">
        <v>23237.916666666599</v>
      </c>
    </row>
    <row r="121" spans="1:18" x14ac:dyDescent="0.15">
      <c r="A121" s="92" t="s">
        <v>117</v>
      </c>
      <c r="B121" s="92" t="s">
        <v>116</v>
      </c>
      <c r="C121" s="92" t="s">
        <v>117</v>
      </c>
      <c r="D121" s="92" t="s">
        <v>116</v>
      </c>
      <c r="E121" s="93">
        <v>28700.391</v>
      </c>
      <c r="H121" s="92">
        <v>2008</v>
      </c>
      <c r="I121" s="92">
        <v>3</v>
      </c>
      <c r="J121" s="92">
        <v>2010</v>
      </c>
      <c r="K121" s="92">
        <v>4</v>
      </c>
      <c r="L121" s="93">
        <v>29839.32</v>
      </c>
      <c r="N121" s="92">
        <v>2008</v>
      </c>
      <c r="O121" s="92">
        <v>3</v>
      </c>
      <c r="P121" s="92">
        <v>2010</v>
      </c>
      <c r="Q121" s="92">
        <v>4</v>
      </c>
      <c r="R121" s="93">
        <v>23239.833333333299</v>
      </c>
    </row>
    <row r="122" spans="1:18" x14ac:dyDescent="0.15">
      <c r="A122" s="92" t="s">
        <v>117</v>
      </c>
      <c r="B122" s="92" t="s">
        <v>116</v>
      </c>
      <c r="C122" s="92" t="s">
        <v>118</v>
      </c>
      <c r="D122" s="92" t="s">
        <v>113</v>
      </c>
      <c r="E122" s="93">
        <v>28408.116000000002</v>
      </c>
      <c r="H122" s="92">
        <v>2008</v>
      </c>
      <c r="I122" s="92">
        <v>3</v>
      </c>
      <c r="J122" s="92">
        <v>2011</v>
      </c>
      <c r="K122" s="92">
        <v>1</v>
      </c>
      <c r="L122" s="93">
        <v>29839.32</v>
      </c>
      <c r="N122" s="92">
        <v>2008</v>
      </c>
      <c r="O122" s="92">
        <v>3</v>
      </c>
      <c r="P122" s="92">
        <v>2011</v>
      </c>
      <c r="Q122" s="92">
        <v>1</v>
      </c>
      <c r="R122" s="93">
        <v>23239.833333333299</v>
      </c>
    </row>
    <row r="123" spans="1:18" x14ac:dyDescent="0.15">
      <c r="A123" s="92" t="s">
        <v>117</v>
      </c>
      <c r="B123" s="92" t="s">
        <v>116</v>
      </c>
      <c r="C123" s="92" t="s">
        <v>118</v>
      </c>
      <c r="D123" s="92" t="s">
        <v>114</v>
      </c>
      <c r="E123" s="93">
        <v>27556.22</v>
      </c>
      <c r="H123" s="92">
        <v>2008</v>
      </c>
      <c r="I123" s="92">
        <v>3</v>
      </c>
      <c r="J123" s="92">
        <v>2011</v>
      </c>
      <c r="K123" s="92">
        <v>2</v>
      </c>
      <c r="L123" s="93">
        <v>29839.32</v>
      </c>
      <c r="N123" s="92">
        <v>2008</v>
      </c>
      <c r="O123" s="92">
        <v>3</v>
      </c>
      <c r="P123" s="92">
        <v>2011</v>
      </c>
      <c r="Q123" s="92">
        <v>2</v>
      </c>
      <c r="R123" s="93">
        <v>23239.833333333299</v>
      </c>
    </row>
    <row r="124" spans="1:18" x14ac:dyDescent="0.15">
      <c r="A124" s="92" t="s">
        <v>117</v>
      </c>
      <c r="B124" s="92" t="s">
        <v>116</v>
      </c>
      <c r="C124" s="92" t="s">
        <v>118</v>
      </c>
      <c r="D124" s="92" t="s">
        <v>115</v>
      </c>
      <c r="E124" s="93">
        <v>27213.074000000001</v>
      </c>
      <c r="H124" s="92">
        <v>2008</v>
      </c>
      <c r="I124" s="92">
        <v>3</v>
      </c>
      <c r="J124" s="92">
        <v>2011</v>
      </c>
      <c r="K124" s="92">
        <v>3</v>
      </c>
      <c r="L124" s="93">
        <v>29839.32</v>
      </c>
      <c r="N124" s="92">
        <v>2008</v>
      </c>
      <c r="O124" s="92">
        <v>3</v>
      </c>
      <c r="P124" s="92">
        <v>2011</v>
      </c>
      <c r="Q124" s="92">
        <v>3</v>
      </c>
      <c r="R124" s="93">
        <v>23239.833333333299</v>
      </c>
    </row>
    <row r="125" spans="1:18" x14ac:dyDescent="0.15">
      <c r="A125" s="92" t="s">
        <v>117</v>
      </c>
      <c r="B125" s="92" t="s">
        <v>116</v>
      </c>
      <c r="C125" s="92" t="s">
        <v>118</v>
      </c>
      <c r="D125" s="92" t="s">
        <v>116</v>
      </c>
      <c r="E125" s="93">
        <v>27132.38</v>
      </c>
      <c r="H125" s="92">
        <v>2008</v>
      </c>
      <c r="I125" s="92">
        <v>3</v>
      </c>
      <c r="J125" s="92">
        <v>2011</v>
      </c>
      <c r="K125" s="92">
        <v>4</v>
      </c>
      <c r="L125" s="93">
        <v>29839.32</v>
      </c>
      <c r="N125" s="92">
        <v>2008</v>
      </c>
      <c r="O125" s="92">
        <v>3</v>
      </c>
      <c r="P125" s="92">
        <v>2011</v>
      </c>
      <c r="Q125" s="92">
        <v>4</v>
      </c>
      <c r="R125" s="93">
        <v>23239.833333333299</v>
      </c>
    </row>
    <row r="126" spans="1:18" x14ac:dyDescent="0.15">
      <c r="A126" s="92" t="s">
        <v>117</v>
      </c>
      <c r="B126" s="92" t="s">
        <v>116</v>
      </c>
      <c r="C126" s="92" t="s">
        <v>119</v>
      </c>
      <c r="D126" s="92" t="s">
        <v>113</v>
      </c>
      <c r="E126" s="93">
        <v>26866.105</v>
      </c>
      <c r="H126" s="92">
        <v>2008</v>
      </c>
      <c r="I126" s="92">
        <v>4</v>
      </c>
      <c r="J126" s="92">
        <v>2008</v>
      </c>
      <c r="K126" s="92">
        <v>3</v>
      </c>
      <c r="L126" s="93">
        <v>465.08600000000001</v>
      </c>
      <c r="N126" s="92">
        <v>2008</v>
      </c>
      <c r="O126" s="92">
        <v>4</v>
      </c>
      <c r="P126" s="92">
        <v>2008</v>
      </c>
      <c r="Q126" s="92">
        <v>3</v>
      </c>
      <c r="R126" s="93">
        <v>388</v>
      </c>
    </row>
    <row r="127" spans="1:18" x14ac:dyDescent="0.15">
      <c r="A127" s="92" t="s">
        <v>117</v>
      </c>
      <c r="B127" s="92" t="s">
        <v>116</v>
      </c>
      <c r="C127" s="92" t="s">
        <v>119</v>
      </c>
      <c r="D127" s="92" t="s">
        <v>114</v>
      </c>
      <c r="E127" s="93">
        <v>26866.785</v>
      </c>
      <c r="H127" s="92">
        <v>2008</v>
      </c>
      <c r="I127" s="92">
        <v>4</v>
      </c>
      <c r="J127" s="92">
        <v>2008</v>
      </c>
      <c r="K127" s="92">
        <v>4</v>
      </c>
      <c r="L127" s="93">
        <v>30065.258999999998</v>
      </c>
      <c r="N127" s="92">
        <v>2008</v>
      </c>
      <c r="O127" s="92">
        <v>4</v>
      </c>
      <c r="P127" s="92">
        <v>2008</v>
      </c>
      <c r="Q127" s="92">
        <v>4</v>
      </c>
      <c r="R127" s="93">
        <v>22963.166666666599</v>
      </c>
    </row>
    <row r="128" spans="1:18" x14ac:dyDescent="0.15">
      <c r="A128" s="92" t="s">
        <v>117</v>
      </c>
      <c r="B128" s="92" t="s">
        <v>116</v>
      </c>
      <c r="C128" s="92" t="s">
        <v>119</v>
      </c>
      <c r="D128" s="92" t="s">
        <v>115</v>
      </c>
      <c r="E128" s="93">
        <v>26863.682000000001</v>
      </c>
      <c r="H128" s="92">
        <v>2008</v>
      </c>
      <c r="I128" s="92">
        <v>4</v>
      </c>
      <c r="J128" s="92">
        <v>2009</v>
      </c>
      <c r="K128" s="92">
        <v>1</v>
      </c>
      <c r="L128" s="93">
        <v>28457.304</v>
      </c>
      <c r="N128" s="92">
        <v>2008</v>
      </c>
      <c r="O128" s="92">
        <v>4</v>
      </c>
      <c r="P128" s="92">
        <v>2009</v>
      </c>
      <c r="Q128" s="92">
        <v>1</v>
      </c>
      <c r="R128" s="93">
        <v>22029.75</v>
      </c>
    </row>
    <row r="129" spans="1:18" x14ac:dyDescent="0.15">
      <c r="A129" s="92" t="s">
        <v>117</v>
      </c>
      <c r="B129" s="92" t="s">
        <v>116</v>
      </c>
      <c r="C129" s="92" t="s">
        <v>119</v>
      </c>
      <c r="D129" s="92" t="s">
        <v>116</v>
      </c>
      <c r="E129" s="93">
        <v>26862.47</v>
      </c>
      <c r="H129" s="92">
        <v>2008</v>
      </c>
      <c r="I129" s="92">
        <v>4</v>
      </c>
      <c r="J129" s="92">
        <v>2009</v>
      </c>
      <c r="K129" s="92">
        <v>2</v>
      </c>
      <c r="L129" s="93">
        <v>27455.805</v>
      </c>
      <c r="N129" s="92">
        <v>2008</v>
      </c>
      <c r="O129" s="92">
        <v>4</v>
      </c>
      <c r="P129" s="92">
        <v>2009</v>
      </c>
      <c r="Q129" s="92">
        <v>2</v>
      </c>
      <c r="R129" s="93">
        <v>21378.333333333299</v>
      </c>
    </row>
    <row r="130" spans="1:18" x14ac:dyDescent="0.15">
      <c r="A130" s="92" t="s">
        <v>117</v>
      </c>
      <c r="B130" s="92" t="s">
        <v>116</v>
      </c>
      <c r="C130" s="92" t="s">
        <v>120</v>
      </c>
      <c r="D130" s="92" t="s">
        <v>113</v>
      </c>
      <c r="E130" s="93">
        <v>26862.47</v>
      </c>
      <c r="H130" s="92">
        <v>2008</v>
      </c>
      <c r="I130" s="92">
        <v>4</v>
      </c>
      <c r="J130" s="92">
        <v>2009</v>
      </c>
      <c r="K130" s="92">
        <v>3</v>
      </c>
      <c r="L130" s="93">
        <v>26978.838</v>
      </c>
      <c r="N130" s="92">
        <v>2008</v>
      </c>
      <c r="O130" s="92">
        <v>4</v>
      </c>
      <c r="P130" s="92">
        <v>2009</v>
      </c>
      <c r="Q130" s="92">
        <v>3</v>
      </c>
      <c r="R130" s="93">
        <v>21038</v>
      </c>
    </row>
    <row r="131" spans="1:18" x14ac:dyDescent="0.15">
      <c r="A131" s="92" t="s">
        <v>117</v>
      </c>
      <c r="B131" s="92" t="s">
        <v>116</v>
      </c>
      <c r="C131" s="92" t="s">
        <v>120</v>
      </c>
      <c r="D131" s="92" t="s">
        <v>114</v>
      </c>
      <c r="E131" s="93">
        <v>26862.47</v>
      </c>
      <c r="H131" s="92">
        <v>2008</v>
      </c>
      <c r="I131" s="92">
        <v>4</v>
      </c>
      <c r="J131" s="92">
        <v>2009</v>
      </c>
      <c r="K131" s="92">
        <v>4</v>
      </c>
      <c r="L131" s="93">
        <v>26881.914000000001</v>
      </c>
      <c r="N131" s="92">
        <v>2008</v>
      </c>
      <c r="O131" s="92">
        <v>4</v>
      </c>
      <c r="P131" s="92">
        <v>2009</v>
      </c>
      <c r="Q131" s="92">
        <v>4</v>
      </c>
      <c r="R131" s="93">
        <v>20971.583333333299</v>
      </c>
    </row>
    <row r="132" spans="1:18" x14ac:dyDescent="0.15">
      <c r="A132" s="92" t="s">
        <v>117</v>
      </c>
      <c r="B132" s="92" t="s">
        <v>116</v>
      </c>
      <c r="C132" s="92" t="s">
        <v>120</v>
      </c>
      <c r="D132" s="92" t="s">
        <v>115</v>
      </c>
      <c r="E132" s="93">
        <v>26862.47</v>
      </c>
      <c r="H132" s="92">
        <v>2008</v>
      </c>
      <c r="I132" s="92">
        <v>4</v>
      </c>
      <c r="J132" s="92">
        <v>2010</v>
      </c>
      <c r="K132" s="92">
        <v>1</v>
      </c>
      <c r="L132" s="93">
        <v>26874.171999999999</v>
      </c>
      <c r="N132" s="92">
        <v>2008</v>
      </c>
      <c r="O132" s="92">
        <v>4</v>
      </c>
      <c r="P132" s="92">
        <v>2010</v>
      </c>
      <c r="Q132" s="92">
        <v>1</v>
      </c>
      <c r="R132" s="93">
        <v>20966.083333333299</v>
      </c>
    </row>
    <row r="133" spans="1:18" x14ac:dyDescent="0.15">
      <c r="A133" s="92" t="s">
        <v>117</v>
      </c>
      <c r="B133" s="92" t="s">
        <v>116</v>
      </c>
      <c r="C133" s="92" t="s">
        <v>120</v>
      </c>
      <c r="D133" s="92" t="s">
        <v>116</v>
      </c>
      <c r="E133" s="93">
        <v>26862.47</v>
      </c>
      <c r="H133" s="92">
        <v>2008</v>
      </c>
      <c r="I133" s="92">
        <v>4</v>
      </c>
      <c r="J133" s="92">
        <v>2010</v>
      </c>
      <c r="K133" s="92">
        <v>2</v>
      </c>
      <c r="L133" s="93">
        <v>26066.988000000001</v>
      </c>
      <c r="N133" s="92">
        <v>2008</v>
      </c>
      <c r="O133" s="92">
        <v>4</v>
      </c>
      <c r="P133" s="92">
        <v>2010</v>
      </c>
      <c r="Q133" s="92">
        <v>2</v>
      </c>
      <c r="R133" s="93">
        <v>20306.5</v>
      </c>
    </row>
    <row r="134" spans="1:18" x14ac:dyDescent="0.15">
      <c r="A134" s="92" t="s">
        <v>118</v>
      </c>
      <c r="B134" s="92" t="s">
        <v>113</v>
      </c>
      <c r="C134" s="92" t="s">
        <v>118</v>
      </c>
      <c r="D134" s="92" t="s">
        <v>113</v>
      </c>
      <c r="E134" s="93">
        <v>31473.414000000001</v>
      </c>
      <c r="H134" s="92">
        <v>2008</v>
      </c>
      <c r="I134" s="92">
        <v>4</v>
      </c>
      <c r="J134" s="92">
        <v>2010</v>
      </c>
      <c r="K134" s="92">
        <v>3</v>
      </c>
      <c r="L134" s="93">
        <v>26054.906999999999</v>
      </c>
      <c r="N134" s="92">
        <v>2008</v>
      </c>
      <c r="O134" s="92">
        <v>4</v>
      </c>
      <c r="P134" s="92">
        <v>2010</v>
      </c>
      <c r="Q134" s="92">
        <v>3</v>
      </c>
      <c r="R134" s="93">
        <v>20306.5</v>
      </c>
    </row>
    <row r="135" spans="1:18" x14ac:dyDescent="0.15">
      <c r="A135" s="92" t="s">
        <v>118</v>
      </c>
      <c r="B135" s="92" t="s">
        <v>113</v>
      </c>
      <c r="C135" s="92" t="s">
        <v>118</v>
      </c>
      <c r="D135" s="92" t="s">
        <v>114</v>
      </c>
      <c r="E135" s="93">
        <v>30361.986000000001</v>
      </c>
      <c r="H135" s="92">
        <v>2008</v>
      </c>
      <c r="I135" s="92">
        <v>4</v>
      </c>
      <c r="J135" s="92">
        <v>2010</v>
      </c>
      <c r="K135" s="92">
        <v>4</v>
      </c>
      <c r="L135" s="93">
        <v>26055.439999999999</v>
      </c>
      <c r="N135" s="92">
        <v>2008</v>
      </c>
      <c r="O135" s="92">
        <v>4</v>
      </c>
      <c r="P135" s="92">
        <v>2010</v>
      </c>
      <c r="Q135" s="92">
        <v>4</v>
      </c>
      <c r="R135" s="93">
        <v>20309.083333333299</v>
      </c>
    </row>
    <row r="136" spans="1:18" x14ac:dyDescent="0.15">
      <c r="A136" s="92" t="s">
        <v>118</v>
      </c>
      <c r="B136" s="92" t="s">
        <v>113</v>
      </c>
      <c r="C136" s="92" t="s">
        <v>118</v>
      </c>
      <c r="D136" s="92" t="s">
        <v>115</v>
      </c>
      <c r="E136" s="93">
        <v>29580.106</v>
      </c>
      <c r="H136" s="92">
        <v>2008</v>
      </c>
      <c r="I136" s="92">
        <v>4</v>
      </c>
      <c r="J136" s="92">
        <v>2011</v>
      </c>
      <c r="K136" s="92">
        <v>1</v>
      </c>
      <c r="L136" s="93">
        <v>26055.439999999999</v>
      </c>
      <c r="N136" s="92">
        <v>2008</v>
      </c>
      <c r="O136" s="92">
        <v>4</v>
      </c>
      <c r="P136" s="92">
        <v>2011</v>
      </c>
      <c r="Q136" s="92">
        <v>1</v>
      </c>
      <c r="R136" s="93">
        <v>20309.083333333299</v>
      </c>
    </row>
    <row r="137" spans="1:18" x14ac:dyDescent="0.15">
      <c r="A137" s="92" t="s">
        <v>118</v>
      </c>
      <c r="B137" s="92" t="s">
        <v>113</v>
      </c>
      <c r="C137" s="92" t="s">
        <v>118</v>
      </c>
      <c r="D137" s="92" t="s">
        <v>116</v>
      </c>
      <c r="E137" s="93">
        <v>29252.664000000001</v>
      </c>
      <c r="H137" s="92">
        <v>2008</v>
      </c>
      <c r="I137" s="92">
        <v>4</v>
      </c>
      <c r="J137" s="92">
        <v>2011</v>
      </c>
      <c r="K137" s="92">
        <v>2</v>
      </c>
      <c r="L137" s="93">
        <v>26055.439999999999</v>
      </c>
      <c r="N137" s="92">
        <v>2008</v>
      </c>
      <c r="O137" s="92">
        <v>4</v>
      </c>
      <c r="P137" s="92">
        <v>2011</v>
      </c>
      <c r="Q137" s="92">
        <v>2</v>
      </c>
      <c r="R137" s="93">
        <v>20309.083333333299</v>
      </c>
    </row>
    <row r="138" spans="1:18" x14ac:dyDescent="0.15">
      <c r="A138" s="92" t="s">
        <v>118</v>
      </c>
      <c r="B138" s="92" t="s">
        <v>113</v>
      </c>
      <c r="C138" s="92" t="s">
        <v>119</v>
      </c>
      <c r="D138" s="92" t="s">
        <v>113</v>
      </c>
      <c r="E138" s="93">
        <v>29113.66</v>
      </c>
      <c r="H138" s="92">
        <v>2008</v>
      </c>
      <c r="I138" s="92">
        <v>4</v>
      </c>
      <c r="J138" s="92">
        <v>2011</v>
      </c>
      <c r="K138" s="92">
        <v>3</v>
      </c>
      <c r="L138" s="93">
        <v>26055.439999999999</v>
      </c>
      <c r="N138" s="92">
        <v>2008</v>
      </c>
      <c r="O138" s="92">
        <v>4</v>
      </c>
      <c r="P138" s="92">
        <v>2011</v>
      </c>
      <c r="Q138" s="92">
        <v>3</v>
      </c>
      <c r="R138" s="93">
        <v>20309.083333333299</v>
      </c>
    </row>
    <row r="139" spans="1:18" x14ac:dyDescent="0.15">
      <c r="A139" s="92" t="s">
        <v>118</v>
      </c>
      <c r="B139" s="92" t="s">
        <v>113</v>
      </c>
      <c r="C139" s="92" t="s">
        <v>119</v>
      </c>
      <c r="D139" s="92" t="s">
        <v>114</v>
      </c>
      <c r="E139" s="93">
        <v>29071.252</v>
      </c>
      <c r="H139" s="92">
        <v>2008</v>
      </c>
      <c r="I139" s="92">
        <v>4</v>
      </c>
      <c r="J139" s="92">
        <v>2011</v>
      </c>
      <c r="K139" s="92">
        <v>4</v>
      </c>
      <c r="L139" s="93">
        <v>26055.439999999999</v>
      </c>
      <c r="N139" s="92">
        <v>2008</v>
      </c>
      <c r="O139" s="92">
        <v>4</v>
      </c>
      <c r="P139" s="92">
        <v>2011</v>
      </c>
      <c r="Q139" s="92">
        <v>4</v>
      </c>
      <c r="R139" s="93">
        <v>20309.083333333299</v>
      </c>
    </row>
    <row r="140" spans="1:18" x14ac:dyDescent="0.15">
      <c r="A140" s="92" t="s">
        <v>118</v>
      </c>
      <c r="B140" s="92" t="s">
        <v>113</v>
      </c>
      <c r="C140" s="92" t="s">
        <v>119</v>
      </c>
      <c r="D140" s="92" t="s">
        <v>115</v>
      </c>
      <c r="E140" s="93">
        <v>29090.612000000001</v>
      </c>
      <c r="H140" s="92">
        <v>2009</v>
      </c>
      <c r="I140" s="92">
        <v>1</v>
      </c>
      <c r="J140" s="92">
        <v>2009</v>
      </c>
      <c r="K140" s="92">
        <v>1</v>
      </c>
      <c r="L140" s="93">
        <v>33654.326999999997</v>
      </c>
      <c r="N140" s="92">
        <v>2009</v>
      </c>
      <c r="O140" s="92">
        <v>1</v>
      </c>
      <c r="P140" s="92">
        <v>2009</v>
      </c>
      <c r="Q140" s="92">
        <v>1</v>
      </c>
      <c r="R140" s="93">
        <v>26511.333333333299</v>
      </c>
    </row>
    <row r="141" spans="1:18" x14ac:dyDescent="0.15">
      <c r="A141" s="92" t="s">
        <v>118</v>
      </c>
      <c r="B141" s="92" t="s">
        <v>113</v>
      </c>
      <c r="C141" s="92" t="s">
        <v>119</v>
      </c>
      <c r="D141" s="92" t="s">
        <v>116</v>
      </c>
      <c r="E141" s="93">
        <v>29089.531999999999</v>
      </c>
      <c r="H141" s="92">
        <v>2009</v>
      </c>
      <c r="I141" s="92">
        <v>1</v>
      </c>
      <c r="J141" s="92">
        <v>2009</v>
      </c>
      <c r="K141" s="92">
        <v>2</v>
      </c>
      <c r="L141" s="93">
        <v>31908.248</v>
      </c>
      <c r="N141" s="92">
        <v>2009</v>
      </c>
      <c r="O141" s="92">
        <v>1</v>
      </c>
      <c r="P141" s="92">
        <v>2009</v>
      </c>
      <c r="Q141" s="92">
        <v>2</v>
      </c>
      <c r="R141" s="93">
        <v>25665.333333333299</v>
      </c>
    </row>
    <row r="142" spans="1:18" x14ac:dyDescent="0.15">
      <c r="A142" s="92" t="s">
        <v>118</v>
      </c>
      <c r="B142" s="92" t="s">
        <v>113</v>
      </c>
      <c r="C142" s="92" t="s">
        <v>120</v>
      </c>
      <c r="D142" s="92" t="s">
        <v>113</v>
      </c>
      <c r="E142" s="93">
        <v>29088.264999999999</v>
      </c>
      <c r="H142" s="92">
        <v>2009</v>
      </c>
      <c r="I142" s="92">
        <v>1</v>
      </c>
      <c r="J142" s="92">
        <v>2009</v>
      </c>
      <c r="K142" s="92">
        <v>3</v>
      </c>
      <c r="L142" s="93">
        <v>30482.146000000001</v>
      </c>
      <c r="N142" s="92">
        <v>2009</v>
      </c>
      <c r="O142" s="92">
        <v>1</v>
      </c>
      <c r="P142" s="92">
        <v>2009</v>
      </c>
      <c r="Q142" s="92">
        <v>3</v>
      </c>
      <c r="R142" s="93">
        <v>24582.583333333299</v>
      </c>
    </row>
    <row r="143" spans="1:18" x14ac:dyDescent="0.15">
      <c r="A143" s="92" t="s">
        <v>118</v>
      </c>
      <c r="B143" s="92" t="s">
        <v>113</v>
      </c>
      <c r="C143" s="92" t="s">
        <v>120</v>
      </c>
      <c r="D143" s="92" t="s">
        <v>114</v>
      </c>
      <c r="E143" s="93">
        <v>29088.853999999999</v>
      </c>
      <c r="H143" s="92">
        <v>2009</v>
      </c>
      <c r="I143" s="92">
        <v>1</v>
      </c>
      <c r="J143" s="92">
        <v>2009</v>
      </c>
      <c r="K143" s="92">
        <v>4</v>
      </c>
      <c r="L143" s="93">
        <v>29951.884999999998</v>
      </c>
      <c r="N143" s="92">
        <v>2009</v>
      </c>
      <c r="O143" s="92">
        <v>1</v>
      </c>
      <c r="P143" s="92">
        <v>2009</v>
      </c>
      <c r="Q143" s="92">
        <v>4</v>
      </c>
      <c r="R143" s="93">
        <v>24179.166666666599</v>
      </c>
    </row>
    <row r="144" spans="1:18" x14ac:dyDescent="0.15">
      <c r="A144" s="92" t="s">
        <v>118</v>
      </c>
      <c r="B144" s="92" t="s">
        <v>113</v>
      </c>
      <c r="C144" s="92" t="s">
        <v>120</v>
      </c>
      <c r="D144" s="92" t="s">
        <v>115</v>
      </c>
      <c r="E144" s="93">
        <v>29087.932000000001</v>
      </c>
      <c r="H144" s="92">
        <v>2009</v>
      </c>
      <c r="I144" s="92">
        <v>1</v>
      </c>
      <c r="J144" s="92">
        <v>2010</v>
      </c>
      <c r="K144" s="92">
        <v>1</v>
      </c>
      <c r="L144" s="93">
        <v>29823.346000000001</v>
      </c>
      <c r="N144" s="92">
        <v>2009</v>
      </c>
      <c r="O144" s="92">
        <v>1</v>
      </c>
      <c r="P144" s="92">
        <v>2010</v>
      </c>
      <c r="Q144" s="92">
        <v>1</v>
      </c>
      <c r="R144" s="93">
        <v>24090.416666666599</v>
      </c>
    </row>
    <row r="145" spans="1:18" x14ac:dyDescent="0.15">
      <c r="A145" s="92" t="s">
        <v>118</v>
      </c>
      <c r="B145" s="92" t="s">
        <v>113</v>
      </c>
      <c r="C145" s="92" t="s">
        <v>120</v>
      </c>
      <c r="D145" s="92" t="s">
        <v>116</v>
      </c>
      <c r="E145" s="93">
        <v>29047.174999999999</v>
      </c>
      <c r="H145" s="92">
        <v>2009</v>
      </c>
      <c r="I145" s="92">
        <v>1</v>
      </c>
      <c r="J145" s="92">
        <v>2010</v>
      </c>
      <c r="K145" s="92">
        <v>2</v>
      </c>
      <c r="L145" s="93">
        <v>28821.863000000001</v>
      </c>
      <c r="N145" s="92">
        <v>2009</v>
      </c>
      <c r="O145" s="92">
        <v>1</v>
      </c>
      <c r="P145" s="92">
        <v>2010</v>
      </c>
      <c r="Q145" s="92">
        <v>2</v>
      </c>
      <c r="R145" s="93">
        <v>23213.916666666599</v>
      </c>
    </row>
    <row r="146" spans="1:18" x14ac:dyDescent="0.15">
      <c r="A146" s="92" t="s">
        <v>118</v>
      </c>
      <c r="B146" s="92" t="s">
        <v>114</v>
      </c>
      <c r="C146" s="92" t="s">
        <v>118</v>
      </c>
      <c r="D146" s="92" t="s">
        <v>114</v>
      </c>
      <c r="E146" s="93">
        <v>28941.105</v>
      </c>
      <c r="H146" s="92">
        <v>2009</v>
      </c>
      <c r="I146" s="92">
        <v>1</v>
      </c>
      <c r="J146" s="92">
        <v>2010</v>
      </c>
      <c r="K146" s="92">
        <v>3</v>
      </c>
      <c r="L146" s="93">
        <v>28806.492999999999</v>
      </c>
      <c r="N146" s="92">
        <v>2009</v>
      </c>
      <c r="O146" s="92">
        <v>1</v>
      </c>
      <c r="P146" s="92">
        <v>2010</v>
      </c>
      <c r="Q146" s="92">
        <v>3</v>
      </c>
      <c r="R146" s="93">
        <v>23208.75</v>
      </c>
    </row>
    <row r="147" spans="1:18" x14ac:dyDescent="0.15">
      <c r="A147" s="92" t="s">
        <v>118</v>
      </c>
      <c r="B147" s="92" t="s">
        <v>114</v>
      </c>
      <c r="C147" s="92" t="s">
        <v>118</v>
      </c>
      <c r="D147" s="92" t="s">
        <v>115</v>
      </c>
      <c r="E147" s="93">
        <v>28272.355</v>
      </c>
      <c r="H147" s="92">
        <v>2009</v>
      </c>
      <c r="I147" s="92">
        <v>1</v>
      </c>
      <c r="J147" s="92">
        <v>2010</v>
      </c>
      <c r="K147" s="92">
        <v>4</v>
      </c>
      <c r="L147" s="93">
        <v>28803.814999999999</v>
      </c>
      <c r="N147" s="92">
        <v>2009</v>
      </c>
      <c r="O147" s="92">
        <v>1</v>
      </c>
      <c r="P147" s="92">
        <v>2010</v>
      </c>
      <c r="Q147" s="92">
        <v>4</v>
      </c>
      <c r="R147" s="93">
        <v>23207.25</v>
      </c>
    </row>
    <row r="148" spans="1:18" x14ac:dyDescent="0.15">
      <c r="A148" s="92" t="s">
        <v>118</v>
      </c>
      <c r="B148" s="92" t="s">
        <v>114</v>
      </c>
      <c r="C148" s="92" t="s">
        <v>118</v>
      </c>
      <c r="D148" s="92" t="s">
        <v>116</v>
      </c>
      <c r="E148" s="93">
        <v>27655.707999999999</v>
      </c>
      <c r="H148" s="92">
        <v>2009</v>
      </c>
      <c r="I148" s="92">
        <v>1</v>
      </c>
      <c r="J148" s="92">
        <v>2011</v>
      </c>
      <c r="K148" s="92">
        <v>1</v>
      </c>
      <c r="L148" s="93">
        <v>28798.078000000001</v>
      </c>
      <c r="N148" s="92">
        <v>2009</v>
      </c>
      <c r="O148" s="92">
        <v>1</v>
      </c>
      <c r="P148" s="92">
        <v>2011</v>
      </c>
      <c r="Q148" s="92">
        <v>1</v>
      </c>
      <c r="R148" s="93">
        <v>23203.333333333299</v>
      </c>
    </row>
    <row r="149" spans="1:18" x14ac:dyDescent="0.15">
      <c r="A149" s="92" t="s">
        <v>118</v>
      </c>
      <c r="B149" s="92" t="s">
        <v>114</v>
      </c>
      <c r="C149" s="92" t="s">
        <v>119</v>
      </c>
      <c r="D149" s="92" t="s">
        <v>113</v>
      </c>
      <c r="E149" s="93">
        <v>27229.286</v>
      </c>
      <c r="H149" s="92">
        <v>2009</v>
      </c>
      <c r="I149" s="92">
        <v>1</v>
      </c>
      <c r="J149" s="92">
        <v>2011</v>
      </c>
      <c r="K149" s="92">
        <v>2</v>
      </c>
      <c r="L149" s="93">
        <v>28794.324000000001</v>
      </c>
      <c r="N149" s="92">
        <v>2009</v>
      </c>
      <c r="O149" s="92">
        <v>1</v>
      </c>
      <c r="P149" s="92">
        <v>2011</v>
      </c>
      <c r="Q149" s="92">
        <v>2</v>
      </c>
      <c r="R149" s="93">
        <v>23197.166666666599</v>
      </c>
    </row>
    <row r="150" spans="1:18" x14ac:dyDescent="0.15">
      <c r="A150" s="92" t="s">
        <v>118</v>
      </c>
      <c r="B150" s="92" t="s">
        <v>114</v>
      </c>
      <c r="C150" s="92" t="s">
        <v>119</v>
      </c>
      <c r="D150" s="92" t="s">
        <v>114</v>
      </c>
      <c r="E150" s="93">
        <v>27145.875</v>
      </c>
      <c r="H150" s="92">
        <v>2009</v>
      </c>
      <c r="I150" s="92">
        <v>1</v>
      </c>
      <c r="J150" s="92">
        <v>2011</v>
      </c>
      <c r="K150" s="92">
        <v>3</v>
      </c>
      <c r="L150" s="93">
        <v>28798.121999999999</v>
      </c>
      <c r="N150" s="92">
        <v>2009</v>
      </c>
      <c r="O150" s="92">
        <v>1</v>
      </c>
      <c r="P150" s="92">
        <v>2011</v>
      </c>
      <c r="Q150" s="92">
        <v>3</v>
      </c>
      <c r="R150" s="93">
        <v>23201.666666666599</v>
      </c>
    </row>
    <row r="151" spans="1:18" x14ac:dyDescent="0.15">
      <c r="A151" s="92" t="s">
        <v>118</v>
      </c>
      <c r="B151" s="92" t="s">
        <v>114</v>
      </c>
      <c r="C151" s="92" t="s">
        <v>119</v>
      </c>
      <c r="D151" s="92" t="s">
        <v>115</v>
      </c>
      <c r="E151" s="93">
        <v>27112.083999999999</v>
      </c>
      <c r="H151" s="92">
        <v>2009</v>
      </c>
      <c r="I151" s="92">
        <v>1</v>
      </c>
      <c r="J151" s="92">
        <v>2011</v>
      </c>
      <c r="K151" s="92">
        <v>4</v>
      </c>
      <c r="L151" s="93">
        <v>28796.831999999999</v>
      </c>
      <c r="N151" s="92">
        <v>2009</v>
      </c>
      <c r="O151" s="92">
        <v>1</v>
      </c>
      <c r="P151" s="92">
        <v>2011</v>
      </c>
      <c r="Q151" s="92">
        <v>4</v>
      </c>
      <c r="R151" s="93">
        <v>23201.666666666599</v>
      </c>
    </row>
    <row r="152" spans="1:18" x14ac:dyDescent="0.15">
      <c r="A152" s="92" t="s">
        <v>118</v>
      </c>
      <c r="B152" s="92" t="s">
        <v>114</v>
      </c>
      <c r="C152" s="92" t="s">
        <v>119</v>
      </c>
      <c r="D152" s="92" t="s">
        <v>116</v>
      </c>
      <c r="E152" s="93">
        <v>27109.153999999999</v>
      </c>
    </row>
    <row r="153" spans="1:18" x14ac:dyDescent="0.15">
      <c r="A153" s="92" t="s">
        <v>118</v>
      </c>
      <c r="B153" s="92" t="s">
        <v>114</v>
      </c>
      <c r="C153" s="92" t="s">
        <v>120</v>
      </c>
      <c r="D153" s="92" t="s">
        <v>113</v>
      </c>
      <c r="E153" s="93">
        <v>27108.687999999998</v>
      </c>
    </row>
    <row r="154" spans="1:18" x14ac:dyDescent="0.15">
      <c r="A154" s="92" t="s">
        <v>118</v>
      </c>
      <c r="B154" s="92" t="s">
        <v>114</v>
      </c>
      <c r="C154" s="92" t="s">
        <v>120</v>
      </c>
      <c r="D154" s="92" t="s">
        <v>114</v>
      </c>
      <c r="E154" s="93">
        <v>27108.233</v>
      </c>
    </row>
    <row r="155" spans="1:18" x14ac:dyDescent="0.15">
      <c r="A155" s="92" t="s">
        <v>118</v>
      </c>
      <c r="B155" s="92" t="s">
        <v>114</v>
      </c>
      <c r="C155" s="92" t="s">
        <v>120</v>
      </c>
      <c r="D155" s="92" t="s">
        <v>115</v>
      </c>
      <c r="E155" s="93">
        <v>27108.233</v>
      </c>
    </row>
    <row r="156" spans="1:18" x14ac:dyDescent="0.15">
      <c r="A156" s="92" t="s">
        <v>118</v>
      </c>
      <c r="B156" s="92" t="s">
        <v>114</v>
      </c>
      <c r="C156" s="92" t="s">
        <v>120</v>
      </c>
      <c r="D156" s="92" t="s">
        <v>116</v>
      </c>
      <c r="E156" s="93">
        <v>27100.612000000001</v>
      </c>
    </row>
    <row r="157" spans="1:18" x14ac:dyDescent="0.15">
      <c r="A157" s="92" t="s">
        <v>118</v>
      </c>
      <c r="B157" s="92" t="s">
        <v>115</v>
      </c>
      <c r="C157" s="92" t="s">
        <v>118</v>
      </c>
      <c r="D157" s="92" t="s">
        <v>115</v>
      </c>
      <c r="E157" s="93">
        <v>25188.484</v>
      </c>
    </row>
    <row r="158" spans="1:18" x14ac:dyDescent="0.15">
      <c r="A158" s="92" t="s">
        <v>118</v>
      </c>
      <c r="B158" s="92" t="s">
        <v>115</v>
      </c>
      <c r="C158" s="92" t="s">
        <v>118</v>
      </c>
      <c r="D158" s="92" t="s">
        <v>116</v>
      </c>
      <c r="E158" s="93">
        <v>25141.022000000001</v>
      </c>
    </row>
    <row r="159" spans="1:18" x14ac:dyDescent="0.15">
      <c r="A159" s="92" t="s">
        <v>118</v>
      </c>
      <c r="B159" s="92" t="s">
        <v>115</v>
      </c>
      <c r="C159" s="92" t="s">
        <v>119</v>
      </c>
      <c r="D159" s="92" t="s">
        <v>113</v>
      </c>
      <c r="E159" s="93">
        <v>24403.227999999999</v>
      </c>
    </row>
    <row r="160" spans="1:18" x14ac:dyDescent="0.15">
      <c r="A160" s="92" t="s">
        <v>118</v>
      </c>
      <c r="B160" s="92" t="s">
        <v>115</v>
      </c>
      <c r="C160" s="92" t="s">
        <v>119</v>
      </c>
      <c r="D160" s="92" t="s">
        <v>114</v>
      </c>
      <c r="E160" s="93">
        <v>24053.899000000001</v>
      </c>
    </row>
    <row r="161" spans="1:5" x14ac:dyDescent="0.15">
      <c r="A161" s="92" t="s">
        <v>118</v>
      </c>
      <c r="B161" s="92" t="s">
        <v>115</v>
      </c>
      <c r="C161" s="92" t="s">
        <v>119</v>
      </c>
      <c r="D161" s="92" t="s">
        <v>115</v>
      </c>
      <c r="E161" s="93">
        <v>23991.705000000002</v>
      </c>
    </row>
    <row r="162" spans="1:5" x14ac:dyDescent="0.15">
      <c r="A162" s="92" t="s">
        <v>118</v>
      </c>
      <c r="B162" s="92" t="s">
        <v>115</v>
      </c>
      <c r="C162" s="92" t="s">
        <v>119</v>
      </c>
      <c r="D162" s="92" t="s">
        <v>116</v>
      </c>
      <c r="E162" s="93">
        <v>24007.888999999999</v>
      </c>
    </row>
    <row r="163" spans="1:5" x14ac:dyDescent="0.15">
      <c r="A163" s="92" t="s">
        <v>118</v>
      </c>
      <c r="B163" s="92" t="s">
        <v>115</v>
      </c>
      <c r="C163" s="92" t="s">
        <v>120</v>
      </c>
      <c r="D163" s="92" t="s">
        <v>113</v>
      </c>
      <c r="E163" s="93">
        <v>24016.677</v>
      </c>
    </row>
    <row r="164" spans="1:5" x14ac:dyDescent="0.15">
      <c r="A164" s="92" t="s">
        <v>118</v>
      </c>
      <c r="B164" s="92" t="s">
        <v>115</v>
      </c>
      <c r="C164" s="92" t="s">
        <v>120</v>
      </c>
      <c r="D164" s="92" t="s">
        <v>114</v>
      </c>
      <c r="E164" s="93">
        <v>23958.101999999999</v>
      </c>
    </row>
    <row r="165" spans="1:5" x14ac:dyDescent="0.15">
      <c r="A165" s="92" t="s">
        <v>118</v>
      </c>
      <c r="B165" s="92" t="s">
        <v>115</v>
      </c>
      <c r="C165" s="92" t="s">
        <v>120</v>
      </c>
      <c r="D165" s="92" t="s">
        <v>115</v>
      </c>
      <c r="E165" s="93">
        <v>23957.945</v>
      </c>
    </row>
    <row r="166" spans="1:5" x14ac:dyDescent="0.15">
      <c r="A166" s="92" t="s">
        <v>118</v>
      </c>
      <c r="B166" s="92" t="s">
        <v>115</v>
      </c>
      <c r="C166" s="92" t="s">
        <v>120</v>
      </c>
      <c r="D166" s="92" t="s">
        <v>116</v>
      </c>
      <c r="E166" s="93">
        <v>23957.945</v>
      </c>
    </row>
    <row r="167" spans="1:5" x14ac:dyDescent="0.15">
      <c r="A167" s="92" t="s">
        <v>118</v>
      </c>
      <c r="B167" s="92" t="s">
        <v>116</v>
      </c>
      <c r="C167" s="92" t="s">
        <v>118</v>
      </c>
      <c r="D167" s="92" t="s">
        <v>116</v>
      </c>
      <c r="E167" s="93">
        <v>23690.186000000002</v>
      </c>
    </row>
    <row r="168" spans="1:5" x14ac:dyDescent="0.15">
      <c r="A168" s="92" t="s">
        <v>118</v>
      </c>
      <c r="B168" s="92" t="s">
        <v>116</v>
      </c>
      <c r="C168" s="92" t="s">
        <v>119</v>
      </c>
      <c r="D168" s="92" t="s">
        <v>113</v>
      </c>
      <c r="E168" s="93">
        <v>23947.94</v>
      </c>
    </row>
    <row r="169" spans="1:5" x14ac:dyDescent="0.15">
      <c r="A169" s="92" t="s">
        <v>118</v>
      </c>
      <c r="B169" s="92" t="s">
        <v>116</v>
      </c>
      <c r="C169" s="92" t="s">
        <v>119</v>
      </c>
      <c r="D169" s="92" t="s">
        <v>114</v>
      </c>
      <c r="E169" s="93">
        <v>23148.127</v>
      </c>
    </row>
    <row r="170" spans="1:5" x14ac:dyDescent="0.15">
      <c r="A170" s="92" t="s">
        <v>118</v>
      </c>
      <c r="B170" s="92" t="s">
        <v>116</v>
      </c>
      <c r="C170" s="92" t="s">
        <v>119</v>
      </c>
      <c r="D170" s="92" t="s">
        <v>115</v>
      </c>
      <c r="E170" s="93">
        <v>23021.06</v>
      </c>
    </row>
    <row r="171" spans="1:5" x14ac:dyDescent="0.15">
      <c r="A171" s="92" t="s">
        <v>118</v>
      </c>
      <c r="B171" s="92" t="s">
        <v>116</v>
      </c>
      <c r="C171" s="92" t="s">
        <v>119</v>
      </c>
      <c r="D171" s="92" t="s">
        <v>116</v>
      </c>
      <c r="E171" s="93">
        <v>22962.357</v>
      </c>
    </row>
    <row r="172" spans="1:5" x14ac:dyDescent="0.15">
      <c r="A172" s="92" t="s">
        <v>118</v>
      </c>
      <c r="B172" s="92" t="s">
        <v>116</v>
      </c>
      <c r="C172" s="92" t="s">
        <v>120</v>
      </c>
      <c r="D172" s="92" t="s">
        <v>113</v>
      </c>
      <c r="E172" s="93">
        <v>22848.720000000001</v>
      </c>
    </row>
    <row r="173" spans="1:5" x14ac:dyDescent="0.15">
      <c r="A173" s="92" t="s">
        <v>118</v>
      </c>
      <c r="B173" s="92" t="s">
        <v>116</v>
      </c>
      <c r="C173" s="92" t="s">
        <v>120</v>
      </c>
      <c r="D173" s="92" t="s">
        <v>114</v>
      </c>
      <c r="E173" s="93">
        <v>22863.208999999999</v>
      </c>
    </row>
    <row r="174" spans="1:5" x14ac:dyDescent="0.15">
      <c r="A174" s="92" t="s">
        <v>118</v>
      </c>
      <c r="B174" s="92" t="s">
        <v>116</v>
      </c>
      <c r="C174" s="92" t="s">
        <v>120</v>
      </c>
      <c r="D174" s="92" t="s">
        <v>115</v>
      </c>
      <c r="E174" s="93">
        <v>22902.231</v>
      </c>
    </row>
    <row r="175" spans="1:5" x14ac:dyDescent="0.15">
      <c r="A175" s="92" t="s">
        <v>118</v>
      </c>
      <c r="B175" s="92" t="s">
        <v>116</v>
      </c>
      <c r="C175" s="92" t="s">
        <v>120</v>
      </c>
      <c r="D175" s="92" t="s">
        <v>116</v>
      </c>
      <c r="E175" s="93">
        <v>22897.25</v>
      </c>
    </row>
    <row r="176" spans="1:5" x14ac:dyDescent="0.15">
      <c r="A176" s="92" t="s">
        <v>119</v>
      </c>
      <c r="B176" s="92" t="s">
        <v>113</v>
      </c>
      <c r="C176" s="92" t="s">
        <v>119</v>
      </c>
      <c r="D176" s="92" t="s">
        <v>113</v>
      </c>
      <c r="E176" s="93">
        <v>26818.353999999999</v>
      </c>
    </row>
    <row r="177" spans="1:5" x14ac:dyDescent="0.15">
      <c r="A177" s="92" t="s">
        <v>119</v>
      </c>
      <c r="B177" s="92" t="s">
        <v>113</v>
      </c>
      <c r="C177" s="92" t="s">
        <v>119</v>
      </c>
      <c r="D177" s="92" t="s">
        <v>114</v>
      </c>
      <c r="E177" s="93">
        <v>25800.057000000001</v>
      </c>
    </row>
    <row r="178" spans="1:5" x14ac:dyDescent="0.15">
      <c r="A178" s="92" t="s">
        <v>119</v>
      </c>
      <c r="B178" s="92" t="s">
        <v>113</v>
      </c>
      <c r="C178" s="92" t="s">
        <v>119</v>
      </c>
      <c r="D178" s="92" t="s">
        <v>115</v>
      </c>
      <c r="E178" s="93">
        <v>24993.415000000001</v>
      </c>
    </row>
    <row r="179" spans="1:5" x14ac:dyDescent="0.15">
      <c r="A179" s="92" t="s">
        <v>119</v>
      </c>
      <c r="B179" s="92" t="s">
        <v>113</v>
      </c>
      <c r="C179" s="92" t="s">
        <v>119</v>
      </c>
      <c r="D179" s="92" t="s">
        <v>116</v>
      </c>
      <c r="E179" s="93">
        <v>24641.416000000001</v>
      </c>
    </row>
    <row r="180" spans="1:5" x14ac:dyDescent="0.15">
      <c r="A180" s="92" t="s">
        <v>119</v>
      </c>
      <c r="B180" s="92" t="s">
        <v>113</v>
      </c>
      <c r="C180" s="92" t="s">
        <v>120</v>
      </c>
      <c r="D180" s="92" t="s">
        <v>113</v>
      </c>
      <c r="E180" s="93">
        <v>24654.202000000001</v>
      </c>
    </row>
    <row r="181" spans="1:5" x14ac:dyDescent="0.15">
      <c r="A181" s="92" t="s">
        <v>119</v>
      </c>
      <c r="B181" s="92" t="s">
        <v>113</v>
      </c>
      <c r="C181" s="92" t="s">
        <v>120</v>
      </c>
      <c r="D181" s="92" t="s">
        <v>114</v>
      </c>
      <c r="E181" s="93">
        <v>24616.089</v>
      </c>
    </row>
    <row r="182" spans="1:5" x14ac:dyDescent="0.15">
      <c r="A182" s="92" t="s">
        <v>119</v>
      </c>
      <c r="B182" s="92" t="s">
        <v>113</v>
      </c>
      <c r="C182" s="92" t="s">
        <v>120</v>
      </c>
      <c r="D182" s="92" t="s">
        <v>115</v>
      </c>
      <c r="E182" s="93">
        <v>24590.733</v>
      </c>
    </row>
    <row r="183" spans="1:5" x14ac:dyDescent="0.15">
      <c r="A183" s="92" t="s">
        <v>119</v>
      </c>
      <c r="B183" s="92" t="s">
        <v>113</v>
      </c>
      <c r="C183" s="92" t="s">
        <v>120</v>
      </c>
      <c r="D183" s="92" t="s">
        <v>116</v>
      </c>
      <c r="E183" s="93">
        <v>24590.618999999999</v>
      </c>
    </row>
    <row r="184" spans="1:5" x14ac:dyDescent="0.15">
      <c r="A184" s="92" t="s">
        <v>119</v>
      </c>
      <c r="B184" s="92" t="s">
        <v>114</v>
      </c>
      <c r="C184" s="92" t="s">
        <v>119</v>
      </c>
      <c r="D184" s="92" t="s">
        <v>114</v>
      </c>
      <c r="E184" s="93">
        <v>26626.32</v>
      </c>
    </row>
    <row r="185" spans="1:5" x14ac:dyDescent="0.15">
      <c r="A185" s="92" t="s">
        <v>119</v>
      </c>
      <c r="B185" s="92" t="s">
        <v>114</v>
      </c>
      <c r="C185" s="92" t="s">
        <v>119</v>
      </c>
      <c r="D185" s="92" t="s">
        <v>115</v>
      </c>
      <c r="E185" s="93">
        <v>25303.081999999999</v>
      </c>
    </row>
    <row r="186" spans="1:5" x14ac:dyDescent="0.15">
      <c r="A186" s="92" t="s">
        <v>119</v>
      </c>
      <c r="B186" s="92" t="s">
        <v>114</v>
      </c>
      <c r="C186" s="92" t="s">
        <v>119</v>
      </c>
      <c r="D186" s="92" t="s">
        <v>116</v>
      </c>
      <c r="E186" s="93">
        <v>24651.593000000001</v>
      </c>
    </row>
    <row r="187" spans="1:5" x14ac:dyDescent="0.15">
      <c r="A187" s="92" t="s">
        <v>119</v>
      </c>
      <c r="B187" s="92" t="s">
        <v>114</v>
      </c>
      <c r="C187" s="92" t="s">
        <v>120</v>
      </c>
      <c r="D187" s="92" t="s">
        <v>113</v>
      </c>
      <c r="E187" s="93">
        <v>24293.334999999999</v>
      </c>
    </row>
    <row r="188" spans="1:5" x14ac:dyDescent="0.15">
      <c r="A188" s="92" t="s">
        <v>119</v>
      </c>
      <c r="B188" s="92" t="s">
        <v>114</v>
      </c>
      <c r="C188" s="92" t="s">
        <v>120</v>
      </c>
      <c r="D188" s="92" t="s">
        <v>114</v>
      </c>
      <c r="E188" s="93">
        <v>24263.39</v>
      </c>
    </row>
    <row r="189" spans="1:5" x14ac:dyDescent="0.15">
      <c r="A189" s="92" t="s">
        <v>119</v>
      </c>
      <c r="B189" s="92" t="s">
        <v>114</v>
      </c>
      <c r="C189" s="92" t="s">
        <v>120</v>
      </c>
      <c r="D189" s="92" t="s">
        <v>115</v>
      </c>
      <c r="E189" s="93">
        <v>24246.397000000001</v>
      </c>
    </row>
    <row r="190" spans="1:5" x14ac:dyDescent="0.15">
      <c r="A190" s="92" t="s">
        <v>119</v>
      </c>
      <c r="B190" s="92" t="s">
        <v>114</v>
      </c>
      <c r="C190" s="92" t="s">
        <v>120</v>
      </c>
      <c r="D190" s="92" t="s">
        <v>116</v>
      </c>
      <c r="E190" s="93">
        <v>24239.844000000001</v>
      </c>
    </row>
    <row r="191" spans="1:5" x14ac:dyDescent="0.15">
      <c r="A191" s="92" t="s">
        <v>119</v>
      </c>
      <c r="B191" s="92" t="s">
        <v>115</v>
      </c>
      <c r="C191" s="92" t="s">
        <v>119</v>
      </c>
      <c r="D191" s="92" t="s">
        <v>115</v>
      </c>
      <c r="E191" s="93">
        <v>22861.603999999999</v>
      </c>
    </row>
    <row r="192" spans="1:5" x14ac:dyDescent="0.15">
      <c r="A192" s="92" t="s">
        <v>119</v>
      </c>
      <c r="B192" s="92" t="s">
        <v>115</v>
      </c>
      <c r="C192" s="92" t="s">
        <v>119</v>
      </c>
      <c r="D192" s="92" t="s">
        <v>116</v>
      </c>
      <c r="E192" s="93">
        <v>22548.325000000001</v>
      </c>
    </row>
    <row r="193" spans="1:5" x14ac:dyDescent="0.15">
      <c r="A193" s="92" t="s">
        <v>119</v>
      </c>
      <c r="B193" s="92" t="s">
        <v>115</v>
      </c>
      <c r="C193" s="92" t="s">
        <v>120</v>
      </c>
      <c r="D193" s="92" t="s">
        <v>113</v>
      </c>
      <c r="E193" s="93">
        <v>22019.183000000001</v>
      </c>
    </row>
    <row r="194" spans="1:5" x14ac:dyDescent="0.15">
      <c r="A194" s="92" t="s">
        <v>119</v>
      </c>
      <c r="B194" s="92" t="s">
        <v>115</v>
      </c>
      <c r="C194" s="92" t="s">
        <v>120</v>
      </c>
      <c r="D194" s="92" t="s">
        <v>114</v>
      </c>
      <c r="E194" s="93">
        <v>21820.748</v>
      </c>
    </row>
    <row r="195" spans="1:5" x14ac:dyDescent="0.15">
      <c r="A195" s="92" t="s">
        <v>119</v>
      </c>
      <c r="B195" s="92" t="s">
        <v>115</v>
      </c>
      <c r="C195" s="92" t="s">
        <v>120</v>
      </c>
      <c r="D195" s="92" t="s">
        <v>115</v>
      </c>
      <c r="E195" s="93">
        <v>21685.578000000001</v>
      </c>
    </row>
    <row r="196" spans="1:5" x14ac:dyDescent="0.15">
      <c r="A196" s="92" t="s">
        <v>119</v>
      </c>
      <c r="B196" s="92" t="s">
        <v>115</v>
      </c>
      <c r="C196" s="92" t="s">
        <v>120</v>
      </c>
      <c r="D196" s="92" t="s">
        <v>116</v>
      </c>
      <c r="E196" s="93">
        <v>21773.348000000002</v>
      </c>
    </row>
    <row r="197" spans="1:5" x14ac:dyDescent="0.15">
      <c r="A197" s="92" t="s">
        <v>119</v>
      </c>
      <c r="B197" s="92" t="s">
        <v>116</v>
      </c>
      <c r="C197" s="92" t="s">
        <v>119</v>
      </c>
      <c r="D197" s="92" t="s">
        <v>116</v>
      </c>
      <c r="E197" s="93">
        <v>20280.788</v>
      </c>
    </row>
    <row r="198" spans="1:5" x14ac:dyDescent="0.15">
      <c r="A198" s="92" t="s">
        <v>119</v>
      </c>
      <c r="B198" s="92" t="s">
        <v>116</v>
      </c>
      <c r="C198" s="92" t="s">
        <v>120</v>
      </c>
      <c r="D198" s="92" t="s">
        <v>113</v>
      </c>
      <c r="E198" s="93">
        <v>22199.119999999999</v>
      </c>
    </row>
    <row r="199" spans="1:5" x14ac:dyDescent="0.15">
      <c r="A199" s="92" t="s">
        <v>119</v>
      </c>
      <c r="B199" s="92" t="s">
        <v>116</v>
      </c>
      <c r="C199" s="92" t="s">
        <v>120</v>
      </c>
      <c r="D199" s="92" t="s">
        <v>114</v>
      </c>
      <c r="E199" s="93">
        <v>21623.223999999998</v>
      </c>
    </row>
    <row r="200" spans="1:5" x14ac:dyDescent="0.15">
      <c r="A200" s="92" t="s">
        <v>119</v>
      </c>
      <c r="B200" s="92" t="s">
        <v>116</v>
      </c>
      <c r="C200" s="92" t="s">
        <v>120</v>
      </c>
      <c r="D200" s="92" t="s">
        <v>115</v>
      </c>
      <c r="E200" s="93">
        <v>21289.522000000001</v>
      </c>
    </row>
    <row r="201" spans="1:5" x14ac:dyDescent="0.15">
      <c r="A201" s="92" t="s">
        <v>119</v>
      </c>
      <c r="B201" s="92" t="s">
        <v>116</v>
      </c>
      <c r="C201" s="92" t="s">
        <v>120</v>
      </c>
      <c r="D201" s="92" t="s">
        <v>116</v>
      </c>
      <c r="E201" s="93">
        <v>21282.129000000001</v>
      </c>
    </row>
    <row r="202" spans="1:5" x14ac:dyDescent="0.15">
      <c r="A202" s="92" t="s">
        <v>120</v>
      </c>
      <c r="B202" s="92" t="s">
        <v>113</v>
      </c>
      <c r="C202" s="92" t="s">
        <v>120</v>
      </c>
      <c r="D202" s="92" t="s">
        <v>113</v>
      </c>
      <c r="E202" s="93">
        <v>23632.914000000001</v>
      </c>
    </row>
    <row r="203" spans="1:5" x14ac:dyDescent="0.15">
      <c r="A203" s="92" t="s">
        <v>120</v>
      </c>
      <c r="B203" s="92" t="s">
        <v>113</v>
      </c>
      <c r="C203" s="92" t="s">
        <v>120</v>
      </c>
      <c r="D203" s="92" t="s">
        <v>114</v>
      </c>
      <c r="E203" s="93">
        <v>23222.447</v>
      </c>
    </row>
    <row r="204" spans="1:5" x14ac:dyDescent="0.15">
      <c r="A204" s="92" t="s">
        <v>120</v>
      </c>
      <c r="B204" s="92" t="s">
        <v>113</v>
      </c>
      <c r="C204" s="92" t="s">
        <v>120</v>
      </c>
      <c r="D204" s="92" t="s">
        <v>115</v>
      </c>
      <c r="E204" s="93">
        <v>22405.96</v>
      </c>
    </row>
    <row r="205" spans="1:5" x14ac:dyDescent="0.15">
      <c r="A205" s="92" t="s">
        <v>120</v>
      </c>
      <c r="B205" s="92" t="s">
        <v>113</v>
      </c>
      <c r="C205" s="92" t="s">
        <v>120</v>
      </c>
      <c r="D205" s="92" t="s">
        <v>116</v>
      </c>
      <c r="E205" s="93">
        <v>22286.358</v>
      </c>
    </row>
    <row r="206" spans="1:5" x14ac:dyDescent="0.15">
      <c r="A206" s="92" t="s">
        <v>120</v>
      </c>
      <c r="B206" s="92" t="s">
        <v>114</v>
      </c>
      <c r="C206" s="92" t="s">
        <v>120</v>
      </c>
      <c r="D206" s="92" t="s">
        <v>114</v>
      </c>
      <c r="E206" s="93">
        <v>24294.145</v>
      </c>
    </row>
    <row r="207" spans="1:5" x14ac:dyDescent="0.15">
      <c r="A207" s="92" t="s">
        <v>120</v>
      </c>
      <c r="B207" s="92" t="s">
        <v>114</v>
      </c>
      <c r="C207" s="92" t="s">
        <v>120</v>
      </c>
      <c r="D207" s="92" t="s">
        <v>115</v>
      </c>
      <c r="E207" s="93">
        <v>23708.183000000001</v>
      </c>
    </row>
    <row r="208" spans="1:5" x14ac:dyDescent="0.15">
      <c r="A208" s="92" t="s">
        <v>120</v>
      </c>
      <c r="B208" s="92" t="s">
        <v>114</v>
      </c>
      <c r="C208" s="92" t="s">
        <v>120</v>
      </c>
      <c r="D208" s="92" t="s">
        <v>116</v>
      </c>
      <c r="E208" s="93">
        <v>23089.925999999999</v>
      </c>
    </row>
    <row r="209" spans="1:5" x14ac:dyDescent="0.15">
      <c r="A209" s="92" t="s">
        <v>120</v>
      </c>
      <c r="B209" s="92" t="s">
        <v>115</v>
      </c>
      <c r="C209" s="92" t="s">
        <v>120</v>
      </c>
      <c r="D209" s="92" t="s">
        <v>113</v>
      </c>
      <c r="E209" s="93">
        <v>-3.6999999999999998E-2</v>
      </c>
    </row>
    <row r="210" spans="1:5" x14ac:dyDescent="0.15">
      <c r="A210" s="92" t="s">
        <v>120</v>
      </c>
      <c r="B210" s="92" t="s">
        <v>115</v>
      </c>
      <c r="C210" s="92" t="s">
        <v>120</v>
      </c>
      <c r="D210" s="92" t="s">
        <v>114</v>
      </c>
      <c r="E210" s="93">
        <v>-3.6999999999999998E-2</v>
      </c>
    </row>
    <row r="211" spans="1:5" x14ac:dyDescent="0.15">
      <c r="A211" s="92" t="s">
        <v>120</v>
      </c>
      <c r="B211" s="92" t="s">
        <v>115</v>
      </c>
      <c r="C211" s="92" t="s">
        <v>120</v>
      </c>
      <c r="D211" s="92" t="s">
        <v>115</v>
      </c>
      <c r="E211" s="93">
        <v>21678.564999999999</v>
      </c>
    </row>
    <row r="212" spans="1:5" x14ac:dyDescent="0.15">
      <c r="A212" s="92" t="s">
        <v>120</v>
      </c>
      <c r="B212" s="92" t="s">
        <v>115</v>
      </c>
      <c r="C212" s="92" t="s">
        <v>120</v>
      </c>
      <c r="D212" s="92" t="s">
        <v>116</v>
      </c>
      <c r="E212" s="93">
        <v>21767.277999999998</v>
      </c>
    </row>
    <row r="213" spans="1:5" x14ac:dyDescent="0.15">
      <c r="A213" s="92" t="s">
        <v>120</v>
      </c>
      <c r="B213" s="92" t="s">
        <v>116</v>
      </c>
      <c r="C213" s="92" t="s">
        <v>120</v>
      </c>
      <c r="D213" s="92" t="s">
        <v>116</v>
      </c>
      <c r="E213" s="93">
        <v>22776.706999999999</v>
      </c>
    </row>
  </sheetData>
  <phoneticPr fontId="8" type="noConversion"/>
  <pageMargins left="0.75" right="0.75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codeName="Sheet2">
    <pageSetUpPr fitToPage="1"/>
  </sheetPr>
  <dimension ref="A1:Q47"/>
  <sheetViews>
    <sheetView showGridLines="0" topLeftCell="C1" zoomScaleNormal="68" workbookViewId="0">
      <selection activeCell="F49" sqref="F49"/>
    </sheetView>
  </sheetViews>
  <sheetFormatPr defaultColWidth="8.625" defaultRowHeight="12.75" x14ac:dyDescent="0.2"/>
  <cols>
    <col min="1" max="1" width="8.625" style="53" customWidth="1"/>
    <col min="2" max="11" width="11.625" style="53" customWidth="1"/>
    <col min="12" max="12" width="8.625" style="53" customWidth="1"/>
    <col min="13" max="16384" width="8.625" style="53"/>
  </cols>
  <sheetData>
    <row r="1" spans="1:17" x14ac:dyDescent="0.2">
      <c r="A1" s="50" t="s">
        <v>67</v>
      </c>
      <c r="B1" s="51"/>
      <c r="C1" s="51"/>
      <c r="D1" s="51"/>
      <c r="E1" s="10"/>
      <c r="F1" s="51"/>
      <c r="G1" s="51"/>
      <c r="H1" s="51"/>
      <c r="I1" s="51"/>
      <c r="J1" s="52" t="str">
        <f>ULTIMATE!G1</f>
        <v xml:space="preserve">DOCKET #:  </v>
      </c>
      <c r="K1" s="11" t="str">
        <f>ULTIMATE!H1</f>
        <v>LR 25.07</v>
      </c>
    </row>
    <row r="2" spans="1:17" x14ac:dyDescent="0.2">
      <c r="A2" s="50" t="s">
        <v>66</v>
      </c>
      <c r="B2" s="51"/>
      <c r="C2" s="51"/>
      <c r="D2" s="51"/>
      <c r="E2" s="10"/>
      <c r="F2" s="51"/>
      <c r="G2" s="51"/>
      <c r="H2" s="51"/>
      <c r="I2" s="51"/>
      <c r="J2" s="52" t="str">
        <f>ULTIMATE!G2</f>
        <v xml:space="preserve">EXHIBIT #:  </v>
      </c>
      <c r="K2" s="74">
        <f>ULTIMATE!H2</f>
        <v>3</v>
      </c>
    </row>
    <row r="3" spans="1:17" x14ac:dyDescent="0.2">
      <c r="A3" s="51"/>
      <c r="B3" s="51"/>
      <c r="C3" s="51"/>
      <c r="D3" s="51"/>
      <c r="E3" s="10"/>
      <c r="F3" s="51"/>
      <c r="G3" s="51"/>
      <c r="H3" s="51"/>
      <c r="I3" s="51"/>
      <c r="J3" s="52" t="str">
        <f>ULTIMATE!G3</f>
        <v xml:space="preserve">PAGE:  </v>
      </c>
      <c r="K3" s="6" t="s">
        <v>83</v>
      </c>
    </row>
    <row r="4" spans="1:17" x14ac:dyDescent="0.2">
      <c r="A4" s="50" t="s">
        <v>10</v>
      </c>
      <c r="B4" s="51"/>
      <c r="C4" s="51"/>
      <c r="D4" s="51"/>
      <c r="E4" s="10"/>
      <c r="F4" s="51"/>
      <c r="G4" s="51"/>
      <c r="H4" s="51"/>
      <c r="I4" s="51"/>
      <c r="J4" s="51"/>
    </row>
    <row r="5" spans="1:17" x14ac:dyDescent="0.2">
      <c r="A5" s="52" t="s">
        <v>11</v>
      </c>
      <c r="E5" s="42"/>
    </row>
    <row r="6" spans="1:17" x14ac:dyDescent="0.2">
      <c r="A6" s="54" t="s">
        <v>12</v>
      </c>
      <c r="B6" s="54" t="s">
        <v>13</v>
      </c>
      <c r="C6" s="54" t="s">
        <v>14</v>
      </c>
      <c r="D6" s="54" t="s">
        <v>15</v>
      </c>
      <c r="E6" s="54" t="s">
        <v>16</v>
      </c>
      <c r="F6" s="54" t="s">
        <v>17</v>
      </c>
      <c r="G6" s="54" t="s">
        <v>18</v>
      </c>
      <c r="H6" s="54" t="s">
        <v>19</v>
      </c>
      <c r="I6" s="54" t="s">
        <v>20</v>
      </c>
      <c r="J6" s="54" t="s">
        <v>21</v>
      </c>
      <c r="K6" s="54" t="s">
        <v>22</v>
      </c>
    </row>
    <row r="7" spans="1:17" x14ac:dyDescent="0.2">
      <c r="A7" s="55"/>
      <c r="B7" s="56"/>
      <c r="L7" s="57"/>
    </row>
    <row r="8" spans="1:17" x14ac:dyDescent="0.2">
      <c r="A8" s="55">
        <v>99</v>
      </c>
      <c r="B8" s="59">
        <f>384583-3568</f>
        <v>381015</v>
      </c>
      <c r="C8" s="59">
        <v>483610</v>
      </c>
      <c r="D8" s="59">
        <f>473770</f>
        <v>473770</v>
      </c>
      <c r="E8" s="59">
        <f>467205</f>
        <v>467205</v>
      </c>
      <c r="F8" s="1">
        <f>464622</f>
        <v>464622</v>
      </c>
      <c r="G8" s="1">
        <f>463881-3132</f>
        <v>460749</v>
      </c>
      <c r="H8" s="1">
        <f>463767-3132</f>
        <v>460635</v>
      </c>
      <c r="I8" s="59">
        <f>463704-3132</f>
        <v>460572</v>
      </c>
      <c r="J8" s="59">
        <f>463719-3132</f>
        <v>460587</v>
      </c>
      <c r="K8" s="68">
        <f>463571-3132</f>
        <v>460439</v>
      </c>
    </row>
    <row r="9" spans="1:17" x14ac:dyDescent="0.2">
      <c r="A9" s="84" t="s">
        <v>88</v>
      </c>
      <c r="B9" s="59">
        <f>378897-4073</f>
        <v>374824</v>
      </c>
      <c r="C9" s="59">
        <f>468149</f>
        <v>468149</v>
      </c>
      <c r="D9" s="59">
        <f>456390</f>
        <v>456390</v>
      </c>
      <c r="E9" s="59">
        <f>448978</f>
        <v>448978</v>
      </c>
      <c r="F9" s="59">
        <f>446396</f>
        <v>446396</v>
      </c>
      <c r="G9" s="59">
        <f>445875</f>
        <v>445875</v>
      </c>
      <c r="H9" s="59">
        <f>445719</f>
        <v>445719</v>
      </c>
      <c r="I9" s="59">
        <f>445635</f>
        <v>445635</v>
      </c>
      <c r="J9" s="59">
        <f>445563</f>
        <v>445563</v>
      </c>
      <c r="K9" s="77">
        <f>445512</f>
        <v>445512</v>
      </c>
    </row>
    <row r="10" spans="1:17" x14ac:dyDescent="0.2">
      <c r="A10" s="84" t="s">
        <v>89</v>
      </c>
      <c r="B10" s="59">
        <f>343167-1843</f>
        <v>341324</v>
      </c>
      <c r="C10" s="59">
        <f>435521</f>
        <v>435521</v>
      </c>
      <c r="D10" s="59">
        <f>427288</f>
        <v>427288</v>
      </c>
      <c r="E10" s="59">
        <v>420467</v>
      </c>
      <c r="F10" s="59">
        <v>417784</v>
      </c>
      <c r="G10" s="59">
        <v>417144</v>
      </c>
      <c r="H10" s="59">
        <v>417032</v>
      </c>
      <c r="I10" s="59">
        <v>416976</v>
      </c>
      <c r="J10" s="59">
        <v>416938</v>
      </c>
      <c r="K10" s="68">
        <v>417108</v>
      </c>
    </row>
    <row r="11" spans="1:17" x14ac:dyDescent="0.2">
      <c r="A11" s="84" t="s">
        <v>90</v>
      </c>
      <c r="B11" s="59">
        <f>362636-1783</f>
        <v>360853</v>
      </c>
      <c r="C11" s="59">
        <v>460046</v>
      </c>
      <c r="D11" s="59">
        <v>446942</v>
      </c>
      <c r="E11" s="59">
        <v>439492</v>
      </c>
      <c r="F11" s="59">
        <v>436731</v>
      </c>
      <c r="G11" s="59">
        <v>436051</v>
      </c>
      <c r="H11" s="59">
        <v>436029</v>
      </c>
      <c r="I11" s="59">
        <v>435956</v>
      </c>
      <c r="J11" s="59">
        <v>435915</v>
      </c>
      <c r="K11" s="68">
        <v>435869</v>
      </c>
    </row>
    <row r="12" spans="1:17" x14ac:dyDescent="0.2">
      <c r="A12" s="84" t="s">
        <v>91</v>
      </c>
      <c r="B12" s="59">
        <v>364237</v>
      </c>
      <c r="C12" s="59">
        <v>456146</v>
      </c>
      <c r="D12" s="59">
        <v>441148</v>
      </c>
      <c r="E12" s="59">
        <f>434530</f>
        <v>434530</v>
      </c>
      <c r="F12" s="59">
        <v>431823</v>
      </c>
      <c r="G12" s="59">
        <v>431191</v>
      </c>
      <c r="H12" s="59">
        <v>431040</v>
      </c>
      <c r="I12" s="59">
        <v>430907</v>
      </c>
      <c r="J12" s="59">
        <v>430832</v>
      </c>
      <c r="K12" s="68">
        <v>430763</v>
      </c>
      <c r="Q12" s="1"/>
    </row>
    <row r="13" spans="1:17" x14ac:dyDescent="0.2">
      <c r="A13" s="84" t="s">
        <v>92</v>
      </c>
      <c r="B13" s="59">
        <v>372995.47200000001</v>
      </c>
      <c r="C13" s="59">
        <v>467532.09400000004</v>
      </c>
      <c r="D13" s="59">
        <v>454181.179</v>
      </c>
      <c r="E13" s="59">
        <v>446239.32899999997</v>
      </c>
      <c r="F13" s="59">
        <v>441830.31500000012</v>
      </c>
      <c r="G13" s="59">
        <v>440978.20600000012</v>
      </c>
      <c r="H13" s="59">
        <v>440723.90299999999</v>
      </c>
      <c r="I13" s="59">
        <v>440618.44</v>
      </c>
      <c r="J13" s="59">
        <v>440559.0749999999</v>
      </c>
      <c r="K13" s="68">
        <v>440535.20799999987</v>
      </c>
      <c r="Q13" s="1"/>
    </row>
    <row r="14" spans="1:17" x14ac:dyDescent="0.2">
      <c r="A14" s="84" t="s">
        <v>93</v>
      </c>
      <c r="B14" s="59">
        <v>355446</v>
      </c>
      <c r="C14" s="59">
        <v>433339.97400000005</v>
      </c>
      <c r="D14" s="59">
        <v>421545.75</v>
      </c>
      <c r="E14" s="59">
        <v>415554.59300000005</v>
      </c>
      <c r="F14" s="59">
        <v>414885.94899999996</v>
      </c>
      <c r="G14" s="59">
        <v>413846.38500000007</v>
      </c>
      <c r="H14" s="59">
        <v>413817.20899999986</v>
      </c>
      <c r="I14" s="59">
        <v>412691.29199999996</v>
      </c>
      <c r="J14" s="1">
        <v>412924.11199999991</v>
      </c>
      <c r="K14" s="68">
        <v>412909.79800000013</v>
      </c>
      <c r="Q14" s="1"/>
    </row>
    <row r="15" spans="1:17" x14ac:dyDescent="0.2">
      <c r="A15" s="84" t="s">
        <v>94</v>
      </c>
      <c r="B15" s="59">
        <v>265256</v>
      </c>
      <c r="C15" s="59">
        <v>318827.60199999996</v>
      </c>
      <c r="D15" s="59">
        <v>313732.549</v>
      </c>
      <c r="E15" s="59">
        <v>308435.03999999998</v>
      </c>
      <c r="F15" s="59">
        <v>306975.61899999995</v>
      </c>
      <c r="G15" s="59">
        <v>306677.38199999993</v>
      </c>
      <c r="H15" s="59">
        <v>306612.94799999997</v>
      </c>
      <c r="I15" s="59">
        <v>306582.01</v>
      </c>
      <c r="J15" s="1">
        <v>306572.902</v>
      </c>
      <c r="K15" s="68">
        <v>306564.61200000002</v>
      </c>
      <c r="Q15" s="1"/>
    </row>
    <row r="16" spans="1:17" x14ac:dyDescent="0.2">
      <c r="A16" s="84" t="s">
        <v>96</v>
      </c>
      <c r="B16" s="59">
        <v>213700</v>
      </c>
      <c r="C16" s="59">
        <v>271819.315</v>
      </c>
      <c r="D16" s="59">
        <v>265428.88</v>
      </c>
      <c r="E16" s="59">
        <v>261987.52100000001</v>
      </c>
      <c r="F16" s="59">
        <v>260511.19799999997</v>
      </c>
      <c r="G16" s="59">
        <v>260246.77</v>
      </c>
      <c r="H16" s="59">
        <v>260228</v>
      </c>
      <c r="I16" s="59">
        <v>260187</v>
      </c>
      <c r="J16" s="59">
        <v>260159</v>
      </c>
      <c r="K16" s="68">
        <v>256924</v>
      </c>
      <c r="Q16" s="1"/>
    </row>
    <row r="17" spans="1:17" x14ac:dyDescent="0.2">
      <c r="A17" s="84" t="s">
        <v>98</v>
      </c>
      <c r="B17" s="59">
        <v>136822</v>
      </c>
      <c r="C17" s="59">
        <v>161620</v>
      </c>
      <c r="D17" s="59">
        <v>158180</v>
      </c>
      <c r="E17" s="59">
        <v>156587</v>
      </c>
      <c r="F17" s="59">
        <v>155971</v>
      </c>
      <c r="G17" s="59">
        <v>155872</v>
      </c>
      <c r="H17" s="59">
        <v>155845</v>
      </c>
      <c r="I17" s="59">
        <v>152442</v>
      </c>
      <c r="J17" s="59">
        <v>152395</v>
      </c>
      <c r="K17" s="68">
        <v>152393</v>
      </c>
      <c r="Q17" s="1"/>
    </row>
    <row r="18" spans="1:17" x14ac:dyDescent="0.2">
      <c r="A18" s="84" t="s">
        <v>101</v>
      </c>
      <c r="B18" s="59">
        <v>30482</v>
      </c>
      <c r="C18" s="59">
        <v>29952</v>
      </c>
      <c r="D18" s="59">
        <v>29823</v>
      </c>
      <c r="E18" s="59">
        <v>28822</v>
      </c>
      <c r="F18" s="59">
        <v>28806</v>
      </c>
      <c r="G18" s="59">
        <v>28804</v>
      </c>
      <c r="H18" s="59">
        <v>28798</v>
      </c>
      <c r="I18" s="59">
        <v>28794</v>
      </c>
      <c r="J18" s="59">
        <v>28798</v>
      </c>
      <c r="K18" s="68">
        <v>28797</v>
      </c>
      <c r="Q18" s="1"/>
    </row>
    <row r="19" spans="1:17" x14ac:dyDescent="0.2">
      <c r="A19" s="84"/>
      <c r="B19" s="82"/>
      <c r="K19" s="68"/>
      <c r="Q19" s="1"/>
    </row>
    <row r="20" spans="1:17" x14ac:dyDescent="0.2">
      <c r="A20" s="50" t="s">
        <v>23</v>
      </c>
      <c r="B20" s="51"/>
      <c r="C20" s="51"/>
      <c r="D20" s="51"/>
      <c r="E20" s="10"/>
      <c r="F20" s="51"/>
      <c r="G20" s="51"/>
      <c r="H20" s="51"/>
      <c r="I20" s="51"/>
      <c r="J20" s="51"/>
    </row>
    <row r="21" spans="1:17" x14ac:dyDescent="0.2">
      <c r="A21" s="52" t="s">
        <v>11</v>
      </c>
      <c r="E21" s="42"/>
    </row>
    <row r="22" spans="1:17" x14ac:dyDescent="0.2">
      <c r="A22" s="54" t="s">
        <v>12</v>
      </c>
      <c r="B22" s="54" t="s">
        <v>24</v>
      </c>
      <c r="C22" s="54" t="s">
        <v>25</v>
      </c>
      <c r="D22" s="54" t="s">
        <v>26</v>
      </c>
      <c r="E22" s="54" t="s">
        <v>27</v>
      </c>
      <c r="F22" s="54" t="s">
        <v>28</v>
      </c>
      <c r="G22" s="54" t="s">
        <v>29</v>
      </c>
      <c r="H22" s="54" t="s">
        <v>30</v>
      </c>
      <c r="I22" s="54" t="s">
        <v>31</v>
      </c>
      <c r="J22" s="54" t="s">
        <v>32</v>
      </c>
    </row>
    <row r="24" spans="1:17" x14ac:dyDescent="0.2">
      <c r="A24" s="55">
        <v>99</v>
      </c>
      <c r="B24" s="60">
        <f t="shared" ref="B24:J34" si="0">ROUND(IF(C8=0," ",IF(B8=0," ",C8/B8)),4)</f>
        <v>1.2693000000000001</v>
      </c>
      <c r="C24" s="60">
        <f t="shared" si="0"/>
        <v>0.97970000000000002</v>
      </c>
      <c r="D24" s="60">
        <f t="shared" si="0"/>
        <v>0.98609999999999998</v>
      </c>
      <c r="E24" s="60">
        <f t="shared" si="0"/>
        <v>0.99450000000000005</v>
      </c>
      <c r="F24" s="60">
        <f t="shared" si="0"/>
        <v>0.99170000000000003</v>
      </c>
      <c r="G24" s="60">
        <f t="shared" si="0"/>
        <v>0.99980000000000002</v>
      </c>
      <c r="H24" s="60">
        <f t="shared" si="0"/>
        <v>0.99990000000000001</v>
      </c>
      <c r="I24" s="60">
        <f t="shared" si="0"/>
        <v>1</v>
      </c>
      <c r="J24" s="60">
        <f t="shared" si="0"/>
        <v>0.99970000000000003</v>
      </c>
    </row>
    <row r="25" spans="1:17" x14ac:dyDescent="0.2">
      <c r="A25" s="84" t="s">
        <v>88</v>
      </c>
      <c r="B25" s="60">
        <f t="shared" si="0"/>
        <v>1.2490000000000001</v>
      </c>
      <c r="C25" s="60">
        <f t="shared" si="0"/>
        <v>0.97489999999999999</v>
      </c>
      <c r="D25" s="60">
        <f t="shared" si="0"/>
        <v>0.98380000000000001</v>
      </c>
      <c r="E25" s="60">
        <f t="shared" si="0"/>
        <v>0.99419999999999997</v>
      </c>
      <c r="F25" s="60">
        <f t="shared" si="0"/>
        <v>0.99880000000000002</v>
      </c>
      <c r="G25" s="60">
        <f t="shared" si="0"/>
        <v>0.99970000000000003</v>
      </c>
      <c r="H25" s="60">
        <f t="shared" si="0"/>
        <v>0.99980000000000002</v>
      </c>
      <c r="I25" s="60">
        <f t="shared" si="0"/>
        <v>0.99980000000000002</v>
      </c>
      <c r="J25" s="60">
        <f t="shared" si="0"/>
        <v>0.99990000000000001</v>
      </c>
    </row>
    <row r="26" spans="1:17" x14ac:dyDescent="0.2">
      <c r="A26" s="84" t="s">
        <v>89</v>
      </c>
      <c r="B26" s="60">
        <f t="shared" si="0"/>
        <v>1.276</v>
      </c>
      <c r="C26" s="60">
        <f t="shared" si="0"/>
        <v>0.98109999999999997</v>
      </c>
      <c r="D26" s="60">
        <f t="shared" si="0"/>
        <v>0.98399999999999999</v>
      </c>
      <c r="E26" s="60">
        <f t="shared" si="0"/>
        <v>0.99360000000000004</v>
      </c>
      <c r="F26" s="60">
        <f t="shared" si="0"/>
        <v>0.99850000000000005</v>
      </c>
      <c r="G26" s="60">
        <f t="shared" si="0"/>
        <v>0.99970000000000003</v>
      </c>
      <c r="H26" s="60">
        <f t="shared" si="0"/>
        <v>0.99990000000000001</v>
      </c>
      <c r="I26" s="60">
        <f t="shared" si="0"/>
        <v>0.99990000000000001</v>
      </c>
      <c r="J26" s="60">
        <f t="shared" si="0"/>
        <v>1.0004</v>
      </c>
    </row>
    <row r="27" spans="1:17" x14ac:dyDescent="0.2">
      <c r="A27" s="84" t="s">
        <v>90</v>
      </c>
      <c r="B27" s="60">
        <f t="shared" si="0"/>
        <v>1.2748999999999999</v>
      </c>
      <c r="C27" s="60">
        <f t="shared" si="0"/>
        <v>0.97150000000000003</v>
      </c>
      <c r="D27" s="60">
        <f t="shared" si="0"/>
        <v>0.98329999999999995</v>
      </c>
      <c r="E27" s="60">
        <f t="shared" si="0"/>
        <v>0.99370000000000003</v>
      </c>
      <c r="F27" s="60">
        <f t="shared" si="0"/>
        <v>0.99839999999999995</v>
      </c>
      <c r="G27" s="60">
        <f t="shared" si="0"/>
        <v>0.99990000000000001</v>
      </c>
      <c r="H27" s="60">
        <f t="shared" si="0"/>
        <v>0.99980000000000002</v>
      </c>
      <c r="I27" s="60">
        <f t="shared" si="0"/>
        <v>0.99990000000000001</v>
      </c>
      <c r="J27" s="60">
        <f t="shared" si="0"/>
        <v>0.99990000000000001</v>
      </c>
    </row>
    <row r="28" spans="1:17" x14ac:dyDescent="0.2">
      <c r="A28" s="84" t="s">
        <v>91</v>
      </c>
      <c r="B28" s="60">
        <f t="shared" si="0"/>
        <v>1.2523</v>
      </c>
      <c r="C28" s="60">
        <f t="shared" si="0"/>
        <v>0.96709999999999996</v>
      </c>
      <c r="D28" s="60">
        <f t="shared" si="0"/>
        <v>0.98499999999999999</v>
      </c>
      <c r="E28" s="60">
        <f t="shared" si="0"/>
        <v>0.99380000000000002</v>
      </c>
      <c r="F28" s="60">
        <f t="shared" si="0"/>
        <v>0.99850000000000005</v>
      </c>
      <c r="G28" s="60">
        <f t="shared" si="0"/>
        <v>0.99960000000000004</v>
      </c>
      <c r="H28" s="60">
        <f t="shared" si="0"/>
        <v>0.99970000000000003</v>
      </c>
      <c r="I28" s="60">
        <f t="shared" si="0"/>
        <v>0.99980000000000002</v>
      </c>
      <c r="J28" s="60">
        <f t="shared" si="0"/>
        <v>0.99980000000000002</v>
      </c>
    </row>
    <row r="29" spans="1:17" x14ac:dyDescent="0.2">
      <c r="A29" s="84" t="s">
        <v>92</v>
      </c>
      <c r="B29" s="60">
        <f t="shared" si="0"/>
        <v>1.2535000000000001</v>
      </c>
      <c r="C29" s="60">
        <f t="shared" si="0"/>
        <v>0.97140000000000004</v>
      </c>
      <c r="D29" s="60">
        <f t="shared" si="0"/>
        <v>0.98250000000000004</v>
      </c>
      <c r="E29" s="60">
        <f t="shared" si="0"/>
        <v>0.99009999999999998</v>
      </c>
      <c r="F29" s="60">
        <f t="shared" si="0"/>
        <v>0.99809999999999999</v>
      </c>
      <c r="G29" s="60">
        <f t="shared" si="0"/>
        <v>0.99939999999999996</v>
      </c>
      <c r="H29" s="60">
        <f t="shared" si="0"/>
        <v>0.99980000000000002</v>
      </c>
      <c r="I29" s="60">
        <f t="shared" si="0"/>
        <v>0.99990000000000001</v>
      </c>
      <c r="J29" s="60">
        <f t="shared" si="0"/>
        <v>0.99990000000000001</v>
      </c>
    </row>
    <row r="30" spans="1:17" x14ac:dyDescent="0.2">
      <c r="A30" s="84" t="s">
        <v>93</v>
      </c>
      <c r="B30" s="60">
        <f t="shared" si="0"/>
        <v>1.2191000000000001</v>
      </c>
      <c r="C30" s="60">
        <f t="shared" si="0"/>
        <v>0.9728</v>
      </c>
      <c r="D30" s="60">
        <f t="shared" si="0"/>
        <v>0.98580000000000001</v>
      </c>
      <c r="E30" s="60">
        <f t="shared" si="0"/>
        <v>0.99839999999999995</v>
      </c>
      <c r="F30" s="60">
        <f t="shared" si="0"/>
        <v>0.99750000000000005</v>
      </c>
      <c r="G30" s="60">
        <f t="shared" si="0"/>
        <v>0.99990000000000001</v>
      </c>
      <c r="H30" s="60">
        <f t="shared" si="0"/>
        <v>0.99729999999999996</v>
      </c>
      <c r="I30" s="60">
        <f t="shared" si="0"/>
        <v>1.0005999999999999</v>
      </c>
      <c r="J30" s="60">
        <f t="shared" si="0"/>
        <v>1</v>
      </c>
    </row>
    <row r="31" spans="1:17" x14ac:dyDescent="0.2">
      <c r="A31" s="84" t="s">
        <v>94</v>
      </c>
      <c r="B31" s="60">
        <f t="shared" si="0"/>
        <v>1.202</v>
      </c>
      <c r="C31" s="60">
        <f t="shared" si="0"/>
        <v>0.98399999999999999</v>
      </c>
      <c r="D31" s="60">
        <f t="shared" si="0"/>
        <v>0.98309999999999997</v>
      </c>
      <c r="E31" s="60">
        <f t="shared" si="0"/>
        <v>0.99529999999999996</v>
      </c>
      <c r="F31" s="60">
        <f t="shared" ref="F31:G33" si="1">ROUND(IF(G15=0," ",IF(F15=0," ",G15/F15)),4)</f>
        <v>0.999</v>
      </c>
      <c r="G31" s="60">
        <f t="shared" si="1"/>
        <v>0.99980000000000002</v>
      </c>
      <c r="H31" s="60">
        <f t="shared" si="0"/>
        <v>0.99990000000000001</v>
      </c>
      <c r="I31" s="60">
        <f t="shared" si="0"/>
        <v>1</v>
      </c>
      <c r="J31" s="60">
        <f t="shared" si="0"/>
        <v>1</v>
      </c>
    </row>
    <row r="32" spans="1:17" x14ac:dyDescent="0.2">
      <c r="A32" s="84" t="s">
        <v>96</v>
      </c>
      <c r="B32" s="60">
        <f t="shared" si="0"/>
        <v>1.272</v>
      </c>
      <c r="C32" s="60">
        <f>ROUND(IF(D16=0," ",IF(C16=0," ",D16/C16)),4)</f>
        <v>0.97650000000000003</v>
      </c>
      <c r="D32" s="60">
        <f t="shared" si="0"/>
        <v>0.98699999999999999</v>
      </c>
      <c r="E32" s="60">
        <f t="shared" si="0"/>
        <v>0.99439999999999995</v>
      </c>
      <c r="F32" s="60">
        <f t="shared" si="1"/>
        <v>0.999</v>
      </c>
      <c r="G32" s="60">
        <f t="shared" si="1"/>
        <v>0.99990000000000001</v>
      </c>
      <c r="H32" s="60">
        <f t="shared" ref="H32:J33" si="2">ROUND(IF(I16=0," ",IF(H16=0," ",I16/H16)),4)</f>
        <v>0.99980000000000002</v>
      </c>
      <c r="I32" s="60">
        <f t="shared" si="2"/>
        <v>0.99990000000000001</v>
      </c>
      <c r="J32" s="60">
        <f t="shared" si="2"/>
        <v>0.98760000000000003</v>
      </c>
    </row>
    <row r="33" spans="1:11" x14ac:dyDescent="0.2">
      <c r="A33" s="84" t="s">
        <v>98</v>
      </c>
      <c r="B33" s="60">
        <f t="shared" si="0"/>
        <v>1.1812</v>
      </c>
      <c r="C33" s="60">
        <f>ROUND(IF(D17=0," ",IF(C17=0," ",D17/C17)),4)</f>
        <v>0.97870000000000001</v>
      </c>
      <c r="D33" s="60">
        <f t="shared" si="0"/>
        <v>0.9899</v>
      </c>
      <c r="E33" s="60">
        <f>ROUND(IF(F17=0," ",IF(E17=0," ",F17/E17)),4)</f>
        <v>0.99609999999999999</v>
      </c>
      <c r="F33" s="60">
        <f t="shared" si="1"/>
        <v>0.99939999999999996</v>
      </c>
      <c r="G33" s="60">
        <f t="shared" si="1"/>
        <v>0.99980000000000002</v>
      </c>
      <c r="H33" s="60">
        <f t="shared" si="2"/>
        <v>0.97819999999999996</v>
      </c>
      <c r="I33" s="60">
        <f t="shared" si="2"/>
        <v>0.99970000000000003</v>
      </c>
      <c r="J33" s="60">
        <f t="shared" si="2"/>
        <v>1</v>
      </c>
    </row>
    <row r="34" spans="1:11" x14ac:dyDescent="0.2">
      <c r="A34" s="84" t="s">
        <v>101</v>
      </c>
      <c r="B34" s="60">
        <f t="shared" si="0"/>
        <v>0.98260000000000003</v>
      </c>
      <c r="C34" s="60">
        <f t="shared" si="0"/>
        <v>0.99570000000000003</v>
      </c>
      <c r="D34" s="60">
        <f t="shared" si="0"/>
        <v>0.96640000000000004</v>
      </c>
      <c r="E34" s="60">
        <f t="shared" si="0"/>
        <v>0.99939999999999996</v>
      </c>
      <c r="F34" s="60">
        <f t="shared" si="0"/>
        <v>0.99990000000000001</v>
      </c>
      <c r="G34" s="60">
        <f t="shared" si="0"/>
        <v>0.99980000000000002</v>
      </c>
      <c r="H34" s="60">
        <f t="shared" si="0"/>
        <v>0.99990000000000001</v>
      </c>
      <c r="I34" s="60">
        <f t="shared" si="0"/>
        <v>1.0001</v>
      </c>
      <c r="J34" s="60">
        <f t="shared" si="0"/>
        <v>1</v>
      </c>
    </row>
    <row r="35" spans="1:11" x14ac:dyDescent="0.2">
      <c r="B35" s="61"/>
      <c r="C35" s="61"/>
      <c r="D35" s="61"/>
      <c r="E35" s="61"/>
      <c r="F35" s="61"/>
      <c r="G35" s="61"/>
      <c r="H35" s="61"/>
      <c r="I35" s="61"/>
      <c r="J35" s="61"/>
    </row>
    <row r="36" spans="1:11" x14ac:dyDescent="0.2">
      <c r="A36" s="57" t="s">
        <v>33</v>
      </c>
      <c r="B36" s="63">
        <f t="shared" ref="B36:G36" si="3">ROUND(AVERAGEA(B32:B34),4)</f>
        <v>1.1453</v>
      </c>
      <c r="C36" s="80">
        <f t="shared" si="3"/>
        <v>0.98360000000000003</v>
      </c>
      <c r="D36" s="63">
        <f t="shared" si="3"/>
        <v>0.98109999999999997</v>
      </c>
      <c r="E36" s="63">
        <f t="shared" si="3"/>
        <v>0.99660000000000004</v>
      </c>
      <c r="F36" s="63">
        <f t="shared" si="3"/>
        <v>0.99939999999999996</v>
      </c>
      <c r="G36" s="63">
        <f t="shared" si="3"/>
        <v>0.99980000000000002</v>
      </c>
      <c r="H36" s="63">
        <f>ROUND(AVERAGEA(H32:H34),4)</f>
        <v>0.99260000000000004</v>
      </c>
      <c r="I36" s="63">
        <f>ROUND(AVERAGEA(I32:I34),4)</f>
        <v>0.99990000000000001</v>
      </c>
      <c r="J36" s="63">
        <f>ROUND(AVERAGEA(J32:J34),4)</f>
        <v>0.99590000000000001</v>
      </c>
    </row>
    <row r="37" spans="1:11" x14ac:dyDescent="0.2">
      <c r="A37" s="57" t="s">
        <v>34</v>
      </c>
      <c r="B37" s="60">
        <v>0.98260000000000003</v>
      </c>
      <c r="C37" s="60">
        <f>C34</f>
        <v>0.99570000000000003</v>
      </c>
      <c r="D37" s="60">
        <f>AVERAGE(D32:D33)</f>
        <v>0.98845000000000005</v>
      </c>
      <c r="E37" s="60">
        <f>E36</f>
        <v>0.99660000000000004</v>
      </c>
      <c r="F37" s="60">
        <f>F36</f>
        <v>0.99939999999999996</v>
      </c>
      <c r="G37" s="60">
        <f>G36</f>
        <v>0.99980000000000002</v>
      </c>
      <c r="H37" s="60">
        <f>AVERAGE(H31:H32,H34)</f>
        <v>0.99986666666666668</v>
      </c>
      <c r="I37" s="60">
        <f>I36</f>
        <v>0.99990000000000001</v>
      </c>
      <c r="J37" s="60">
        <v>1</v>
      </c>
    </row>
    <row r="38" spans="1:11" x14ac:dyDescent="0.2">
      <c r="A38" s="57"/>
      <c r="B38" s="62"/>
      <c r="C38" s="62"/>
      <c r="D38" s="62"/>
      <c r="E38" s="62"/>
      <c r="F38" s="62"/>
      <c r="G38" s="62"/>
      <c r="H38" s="62"/>
      <c r="I38" s="62"/>
      <c r="J38" s="62"/>
    </row>
    <row r="40" spans="1:11" x14ac:dyDescent="0.2">
      <c r="A40" s="50" t="s">
        <v>35</v>
      </c>
      <c r="B40" s="51"/>
      <c r="C40" s="51"/>
      <c r="D40" s="51"/>
      <c r="E40" s="10"/>
      <c r="F40" s="51"/>
      <c r="G40" s="51"/>
      <c r="H40" s="51"/>
      <c r="I40" s="51"/>
      <c r="J40" s="51"/>
    </row>
    <row r="41" spans="1:11" x14ac:dyDescent="0.2">
      <c r="B41" s="54" t="s">
        <v>36</v>
      </c>
      <c r="C41" s="54" t="s">
        <v>37</v>
      </c>
      <c r="D41" s="54" t="s">
        <v>38</v>
      </c>
      <c r="E41" s="54" t="s">
        <v>39</v>
      </c>
      <c r="F41" s="54" t="s">
        <v>40</v>
      </c>
      <c r="G41" s="54" t="s">
        <v>41</v>
      </c>
      <c r="H41" s="54" t="s">
        <v>42</v>
      </c>
      <c r="I41" s="54" t="s">
        <v>43</v>
      </c>
      <c r="J41" s="54" t="s">
        <v>32</v>
      </c>
    </row>
    <row r="42" spans="1:11" x14ac:dyDescent="0.2">
      <c r="B42" s="56"/>
      <c r="K42" s="57"/>
    </row>
    <row r="43" spans="1:11" x14ac:dyDescent="0.2">
      <c r="B43" s="60">
        <f>ROUND(C43*B37,4)</f>
        <v>0.96279999999999999</v>
      </c>
      <c r="C43" s="60">
        <f>ROUND(D43*C37,4)</f>
        <v>0.97989999999999999</v>
      </c>
      <c r="D43" s="60">
        <f t="shared" ref="D43:I43" si="4">ROUND(E43*D37,4)</f>
        <v>0.98409999999999997</v>
      </c>
      <c r="E43" s="60">
        <f t="shared" si="4"/>
        <v>0.99560000000000004</v>
      </c>
      <c r="F43" s="60">
        <f t="shared" si="4"/>
        <v>0.999</v>
      </c>
      <c r="G43" s="60">
        <f t="shared" si="4"/>
        <v>0.99960000000000004</v>
      </c>
      <c r="H43" s="60">
        <f t="shared" si="4"/>
        <v>0.99980000000000002</v>
      </c>
      <c r="I43" s="60">
        <f t="shared" si="4"/>
        <v>0.99990000000000001</v>
      </c>
      <c r="J43" s="60">
        <f>J37</f>
        <v>1</v>
      </c>
    </row>
    <row r="46" spans="1:11" x14ac:dyDescent="0.2">
      <c r="B46" s="57" t="s">
        <v>44</v>
      </c>
      <c r="K46" s="58"/>
    </row>
    <row r="47" spans="1:11" x14ac:dyDescent="0.2">
      <c r="B47" s="58"/>
    </row>
  </sheetData>
  <phoneticPr fontId="0" type="noConversion"/>
  <printOptions horizontalCentered="1" gridLinesSet="0"/>
  <pageMargins left="0" right="0" top="0.5" bottom="0" header="0" footer="0.27"/>
  <pageSetup scale="96" orientation="landscape" horizontalDpi="300" verticalDpi="300" r:id="rId1"/>
  <headerFooter alignWithMargins="0">
    <oddFooter>&amp;R&amp;8&amp;D
n:\lrc\ind00\ultimate\&amp;F&amp;A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 codeName="Sheet5"/>
  <dimension ref="A1:BO79"/>
  <sheetViews>
    <sheetView showGridLines="0" topLeftCell="T17" zoomScaleNormal="75" zoomScaleSheetLayoutView="100" workbookViewId="0">
      <selection activeCell="V53" sqref="V53"/>
    </sheetView>
  </sheetViews>
  <sheetFormatPr defaultColWidth="8.625" defaultRowHeight="12.75" x14ac:dyDescent="0.2"/>
  <cols>
    <col min="1" max="1" width="5.625" style="2" customWidth="1"/>
    <col min="2" max="2" width="4.625" style="2" customWidth="1"/>
    <col min="3" max="3" width="2.625" style="2" customWidth="1"/>
    <col min="4" max="11" width="12.625" style="2" customWidth="1"/>
    <col min="12" max="12" width="11.375" style="2" customWidth="1"/>
    <col min="13" max="13" width="5.625" style="2" customWidth="1"/>
    <col min="14" max="14" width="4.625" style="2" customWidth="1"/>
    <col min="15" max="23" width="12.625" style="2" customWidth="1"/>
    <col min="24" max="24" width="5.625" style="2" customWidth="1"/>
    <col min="25" max="25" width="4.625" style="2" customWidth="1"/>
    <col min="26" max="33" width="12.625" style="2" customWidth="1"/>
    <col min="34" max="34" width="11.125" style="2" customWidth="1"/>
    <col min="35" max="16384" width="8.625" style="2"/>
  </cols>
  <sheetData>
    <row r="1" spans="1:67" x14ac:dyDescent="0.2">
      <c r="A1" s="28" t="s">
        <v>70</v>
      </c>
      <c r="B1" s="29"/>
      <c r="C1" s="29"/>
      <c r="D1" s="29"/>
      <c r="E1" s="29"/>
      <c r="F1" s="29"/>
      <c r="G1" s="10"/>
      <c r="H1" s="29"/>
      <c r="I1" s="29"/>
      <c r="J1" s="30" t="str">
        <f>ULTPYPP!J1</f>
        <v xml:space="preserve">DOCKET #:  </v>
      </c>
      <c r="K1" s="11" t="str">
        <f>ULTPYAO!K1</f>
        <v>LR 25.07</v>
      </c>
      <c r="M1" s="28"/>
      <c r="N1" s="29"/>
      <c r="O1" s="28" t="s">
        <v>47</v>
      </c>
      <c r="P1" s="29"/>
      <c r="Q1" s="29"/>
      <c r="R1" s="10"/>
      <c r="S1" s="29"/>
      <c r="T1" s="29"/>
      <c r="U1" s="29"/>
      <c r="V1" s="31" t="str">
        <f>J1</f>
        <v xml:space="preserve">DOCKET #:  </v>
      </c>
      <c r="W1" s="11" t="str">
        <f>K1</f>
        <v>LR 25.07</v>
      </c>
      <c r="X1" s="28"/>
      <c r="Y1" s="29"/>
      <c r="Z1" s="28" t="s">
        <v>47</v>
      </c>
      <c r="AA1" s="29"/>
      <c r="AB1" s="29"/>
      <c r="AC1" s="10"/>
      <c r="AD1" s="29"/>
      <c r="AE1" s="29"/>
      <c r="AF1" s="30" t="str">
        <f>V1</f>
        <v xml:space="preserve">DOCKET #:  </v>
      </c>
      <c r="AG1" s="11" t="str">
        <f>ULTIMATE!H1</f>
        <v>LR 25.07</v>
      </c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</row>
    <row r="2" spans="1:67" x14ac:dyDescent="0.2">
      <c r="A2" s="28" t="s">
        <v>71</v>
      </c>
      <c r="B2" s="29"/>
      <c r="C2" s="29"/>
      <c r="D2" s="29"/>
      <c r="E2" s="29"/>
      <c r="F2" s="29"/>
      <c r="G2" s="10"/>
      <c r="H2" s="29"/>
      <c r="I2" s="29"/>
      <c r="J2" s="30" t="str">
        <f>ULTPYPP!J2</f>
        <v xml:space="preserve">EXHIBIT #:  </v>
      </c>
      <c r="K2" s="74">
        <f>ULTPYPP!K2</f>
        <v>3</v>
      </c>
      <c r="M2" s="28"/>
      <c r="N2" s="29"/>
      <c r="O2" s="28" t="s">
        <v>48</v>
      </c>
      <c r="P2" s="29"/>
      <c r="Q2" s="10"/>
      <c r="R2" s="29"/>
      <c r="S2" s="29"/>
      <c r="T2" s="29"/>
      <c r="U2" s="29"/>
      <c r="V2" s="31" t="str">
        <f>J2</f>
        <v xml:space="preserve">EXHIBIT #:  </v>
      </c>
      <c r="W2" s="78">
        <f>K2</f>
        <v>3</v>
      </c>
      <c r="X2" s="28"/>
      <c r="Y2" s="29"/>
      <c r="Z2" s="28" t="s">
        <v>49</v>
      </c>
      <c r="AA2" s="29"/>
      <c r="AB2" s="10"/>
      <c r="AC2" s="29"/>
      <c r="AD2" s="29"/>
      <c r="AE2" s="29"/>
      <c r="AF2" s="30" t="str">
        <f>V2</f>
        <v xml:space="preserve">EXHIBIT #:  </v>
      </c>
      <c r="AG2" s="78">
        <f>ULTPYPP!K2</f>
        <v>3</v>
      </c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</row>
    <row r="3" spans="1:67" x14ac:dyDescent="0.2">
      <c r="A3" s="28"/>
      <c r="B3" s="29"/>
      <c r="C3" s="29"/>
      <c r="D3" s="29"/>
      <c r="E3" s="29"/>
      <c r="F3" s="29"/>
      <c r="G3" s="10"/>
      <c r="H3" s="29"/>
      <c r="I3" s="29"/>
      <c r="J3" s="30" t="str">
        <f>ULTPYPP!J3</f>
        <v xml:space="preserve">PAGE:  </v>
      </c>
      <c r="K3" s="75" t="s">
        <v>82</v>
      </c>
      <c r="M3" s="28"/>
      <c r="N3" s="29"/>
      <c r="O3" s="28"/>
      <c r="P3" s="29"/>
      <c r="Q3" s="10"/>
      <c r="R3" s="29"/>
      <c r="S3" s="29"/>
      <c r="T3" s="29"/>
      <c r="U3" s="29"/>
      <c r="V3" s="31" t="str">
        <f>J3</f>
        <v xml:space="preserve">PAGE:  </v>
      </c>
      <c r="W3" s="6" t="s">
        <v>80</v>
      </c>
      <c r="X3" s="28"/>
      <c r="Y3" s="29"/>
      <c r="Z3" s="28"/>
      <c r="AA3" s="29"/>
      <c r="AB3" s="10"/>
      <c r="AC3" s="29"/>
      <c r="AD3" s="29"/>
      <c r="AE3" s="29"/>
      <c r="AF3" s="30" t="str">
        <f>V3</f>
        <v xml:space="preserve">PAGE:  </v>
      </c>
      <c r="AG3" s="6" t="s">
        <v>78</v>
      </c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</row>
    <row r="4" spans="1:67" x14ac:dyDescent="0.2">
      <c r="A4" s="32" t="s">
        <v>50</v>
      </c>
      <c r="L4" s="3"/>
      <c r="M4" s="32"/>
      <c r="X4" s="32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</row>
    <row r="5" spans="1:67" x14ac:dyDescent="0.2">
      <c r="A5" s="33" t="s">
        <v>51</v>
      </c>
      <c r="B5" s="33" t="s">
        <v>52</v>
      </c>
      <c r="C5" s="34"/>
      <c r="D5" s="35">
        <v>3</v>
      </c>
      <c r="E5" s="35">
        <v>6</v>
      </c>
      <c r="F5" s="35">
        <v>9</v>
      </c>
      <c r="G5" s="35">
        <v>12</v>
      </c>
      <c r="H5" s="35">
        <v>15</v>
      </c>
      <c r="I5" s="35">
        <v>18</v>
      </c>
      <c r="J5" s="35">
        <v>21</v>
      </c>
      <c r="K5" s="33" t="s">
        <v>53</v>
      </c>
      <c r="L5" s="35"/>
      <c r="M5" s="33" t="s">
        <v>51</v>
      </c>
      <c r="N5" s="33" t="s">
        <v>52</v>
      </c>
      <c r="O5" s="35">
        <v>3</v>
      </c>
      <c r="P5" s="35">
        <v>6</v>
      </c>
      <c r="Q5" s="35">
        <v>9</v>
      </c>
      <c r="R5" s="35">
        <v>12</v>
      </c>
      <c r="S5" s="35">
        <v>15</v>
      </c>
      <c r="T5" s="35">
        <v>18</v>
      </c>
      <c r="U5" s="35">
        <v>21</v>
      </c>
      <c r="V5" s="33" t="s">
        <v>53</v>
      </c>
      <c r="W5" s="34"/>
      <c r="X5" s="33" t="s">
        <v>51</v>
      </c>
      <c r="Y5" s="33" t="s">
        <v>52</v>
      </c>
      <c r="Z5" s="35">
        <v>3</v>
      </c>
      <c r="AA5" s="35">
        <v>6</v>
      </c>
      <c r="AB5" s="35">
        <v>9</v>
      </c>
      <c r="AC5" s="35">
        <v>12</v>
      </c>
      <c r="AD5" s="35">
        <v>15</v>
      </c>
      <c r="AE5" s="35">
        <v>18</v>
      </c>
      <c r="AF5" s="35">
        <v>21</v>
      </c>
      <c r="AG5" s="33" t="s">
        <v>53</v>
      </c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</row>
    <row r="6" spans="1:67" x14ac:dyDescent="0.2">
      <c r="A6" s="73"/>
      <c r="D6" s="81"/>
      <c r="E6" s="81"/>
      <c r="F6" s="81"/>
      <c r="G6" s="81"/>
      <c r="H6" s="1"/>
      <c r="I6" s="1"/>
      <c r="J6" s="1"/>
      <c r="K6" s="65"/>
      <c r="M6" s="73"/>
      <c r="O6" s="66"/>
      <c r="P6" s="66"/>
      <c r="Q6" s="66"/>
      <c r="R6" s="66"/>
      <c r="S6" s="66"/>
      <c r="T6" s="66"/>
      <c r="V6" s="65"/>
      <c r="X6" s="73"/>
      <c r="Z6" s="65"/>
      <c r="AA6" s="65"/>
      <c r="AB6" s="65"/>
      <c r="AC6" s="65"/>
      <c r="AD6" s="65"/>
      <c r="AE6" s="65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</row>
    <row r="7" spans="1:67" x14ac:dyDescent="0.2">
      <c r="A7" s="73" t="s">
        <v>87</v>
      </c>
      <c r="B7" s="3">
        <v>1</v>
      </c>
      <c r="D7" s="81">
        <v>79822.916666666672</v>
      </c>
      <c r="E7" s="81">
        <v>84582.75</v>
      </c>
      <c r="F7" s="81">
        <v>80413.75</v>
      </c>
      <c r="G7" s="81">
        <v>78976.916666666672</v>
      </c>
      <c r="H7" s="1">
        <v>78617.75</v>
      </c>
      <c r="I7" s="1">
        <v>78564.583333333328</v>
      </c>
      <c r="J7" s="1">
        <v>78567.166666666672</v>
      </c>
      <c r="K7" s="65">
        <v>78562.916666666672</v>
      </c>
      <c r="M7" s="73" t="s">
        <v>87</v>
      </c>
      <c r="N7" s="3">
        <v>1</v>
      </c>
      <c r="O7" s="1">
        <v>128186.91100000001</v>
      </c>
      <c r="P7" s="1">
        <v>135073.258</v>
      </c>
      <c r="Q7" s="1">
        <v>127709.08200000001</v>
      </c>
      <c r="R7" s="1">
        <v>125026.10799999999</v>
      </c>
      <c r="S7" s="1">
        <v>124366.27499999999</v>
      </c>
      <c r="T7" s="1">
        <v>124225.89899999999</v>
      </c>
      <c r="U7" s="1">
        <v>124184.24599999998</v>
      </c>
      <c r="V7" s="65">
        <v>124129.07799999999</v>
      </c>
      <c r="X7" s="73" t="s">
        <v>87</v>
      </c>
      <c r="Y7" s="3">
        <v>1</v>
      </c>
      <c r="Z7" s="65">
        <f t="shared" ref="Z7:AG8" si="0">IF(D7=0," ",ROUND((O7/D7)*1000,0))</f>
        <v>1606</v>
      </c>
      <c r="AA7" s="65">
        <f t="shared" si="0"/>
        <v>1597</v>
      </c>
      <c r="AB7" s="65">
        <f t="shared" si="0"/>
        <v>1588</v>
      </c>
      <c r="AC7" s="65">
        <f t="shared" si="0"/>
        <v>1583</v>
      </c>
      <c r="AD7" s="65">
        <f t="shared" si="0"/>
        <v>1582</v>
      </c>
      <c r="AE7" s="65">
        <f t="shared" si="0"/>
        <v>1581</v>
      </c>
      <c r="AF7" s="65">
        <f t="shared" si="0"/>
        <v>1581</v>
      </c>
      <c r="AG7" s="65">
        <f t="shared" si="0"/>
        <v>1580</v>
      </c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</row>
    <row r="8" spans="1:67" x14ac:dyDescent="0.2">
      <c r="A8" s="73" t="s">
        <v>87</v>
      </c>
      <c r="B8" s="3">
        <v>2</v>
      </c>
      <c r="D8" s="1">
        <v>73509.833333333328</v>
      </c>
      <c r="E8" s="1">
        <v>71403.166666666672</v>
      </c>
      <c r="F8" s="1">
        <v>67609.583333333328</v>
      </c>
      <c r="G8" s="1">
        <v>66368.833333333328</v>
      </c>
      <c r="H8" s="1">
        <v>66150.5</v>
      </c>
      <c r="I8" s="1">
        <v>66141.666666666672</v>
      </c>
      <c r="J8" s="1">
        <v>66138.25</v>
      </c>
      <c r="K8" s="65">
        <v>66128.583333333328</v>
      </c>
      <c r="M8" s="73" t="s">
        <v>87</v>
      </c>
      <c r="N8" s="3">
        <v>2</v>
      </c>
      <c r="O8" s="1">
        <v>122600.49799999999</v>
      </c>
      <c r="P8" s="1">
        <v>116958.933</v>
      </c>
      <c r="Q8" s="1">
        <v>110549.549</v>
      </c>
      <c r="R8" s="1">
        <v>108395.81700000001</v>
      </c>
      <c r="S8" s="1">
        <v>107983.549</v>
      </c>
      <c r="T8" s="1">
        <v>107923.202</v>
      </c>
      <c r="U8" s="1">
        <v>107879.594</v>
      </c>
      <c r="V8" s="65">
        <v>107812.80100000001</v>
      </c>
      <c r="X8" s="73" t="s">
        <v>87</v>
      </c>
      <c r="Y8" s="3">
        <v>2</v>
      </c>
      <c r="Z8" s="65">
        <f t="shared" ref="Z8:AF8" si="1">IF(D8=0," ",ROUND((O8/D8)*1000,0))</f>
        <v>1668</v>
      </c>
      <c r="AA8" s="65">
        <f t="shared" si="1"/>
        <v>1638</v>
      </c>
      <c r="AB8" s="65">
        <f t="shared" si="1"/>
        <v>1635</v>
      </c>
      <c r="AC8" s="65">
        <f t="shared" si="1"/>
        <v>1633</v>
      </c>
      <c r="AD8" s="65">
        <f t="shared" si="1"/>
        <v>1632</v>
      </c>
      <c r="AE8" s="65">
        <f t="shared" si="1"/>
        <v>1632</v>
      </c>
      <c r="AF8" s="65">
        <f t="shared" si="1"/>
        <v>1631</v>
      </c>
      <c r="AG8" s="65">
        <f t="shared" si="0"/>
        <v>1630</v>
      </c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</row>
    <row r="9" spans="1:67" x14ac:dyDescent="0.2">
      <c r="A9" s="73" t="s">
        <v>87</v>
      </c>
      <c r="B9" s="3">
        <v>3</v>
      </c>
      <c r="D9" s="1">
        <v>64264.75</v>
      </c>
      <c r="E9" s="1">
        <v>62337.333333333336</v>
      </c>
      <c r="F9" s="1">
        <v>59345.416666666664</v>
      </c>
      <c r="G9" s="1">
        <v>58583.25</v>
      </c>
      <c r="H9" s="1">
        <v>58417.583333333336</v>
      </c>
      <c r="I9" s="1">
        <v>58399.5</v>
      </c>
      <c r="J9" s="1">
        <v>58412.5</v>
      </c>
      <c r="K9" s="65">
        <v>58349.666666666664</v>
      </c>
      <c r="M9" s="73" t="s">
        <v>87</v>
      </c>
      <c r="N9" s="3">
        <v>3</v>
      </c>
      <c r="O9" s="1">
        <v>110778.141</v>
      </c>
      <c r="P9" s="1">
        <v>105778.23900000002</v>
      </c>
      <c r="Q9" s="1">
        <v>100489.19100000001</v>
      </c>
      <c r="R9" s="1">
        <v>99012.309000000008</v>
      </c>
      <c r="S9" s="1">
        <v>98690.358999999997</v>
      </c>
      <c r="T9" s="1">
        <v>98598.108999999997</v>
      </c>
      <c r="U9" s="1">
        <v>98593.880999999994</v>
      </c>
      <c r="V9" s="65">
        <v>98451.95</v>
      </c>
      <c r="X9" s="73" t="s">
        <v>87</v>
      </c>
      <c r="Y9" s="3">
        <v>3</v>
      </c>
      <c r="Z9" s="65">
        <f t="shared" ref="Z9:AF9" si="2">IF(D9=0," ",ROUND((O9/D9)*1000,0))</f>
        <v>1724</v>
      </c>
      <c r="AA9" s="65">
        <f t="shared" si="2"/>
        <v>1697</v>
      </c>
      <c r="AB9" s="65">
        <f t="shared" si="2"/>
        <v>1693</v>
      </c>
      <c r="AC9" s="65">
        <f t="shared" si="2"/>
        <v>1690</v>
      </c>
      <c r="AD9" s="65">
        <f t="shared" si="2"/>
        <v>1689</v>
      </c>
      <c r="AE9" s="65">
        <f t="shared" si="2"/>
        <v>1688</v>
      </c>
      <c r="AF9" s="65">
        <f t="shared" si="2"/>
        <v>1688</v>
      </c>
      <c r="AG9" s="65">
        <f>IF(K9=0," ",ROUND((V9/K9)*1000,0))</f>
        <v>1687</v>
      </c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</row>
    <row r="10" spans="1:67" x14ac:dyDescent="0.2">
      <c r="A10" s="73" t="s">
        <v>87</v>
      </c>
      <c r="B10" s="3">
        <v>4</v>
      </c>
      <c r="D10" s="1">
        <v>52833.416666666664</v>
      </c>
      <c r="E10" s="1">
        <v>51499.333333333336</v>
      </c>
      <c r="F10" s="1">
        <v>49325.333333333336</v>
      </c>
      <c r="G10" s="1">
        <v>49176</v>
      </c>
      <c r="H10" s="1">
        <v>48740.666666666664</v>
      </c>
      <c r="I10" s="1">
        <v>48772.5</v>
      </c>
      <c r="J10" s="1">
        <v>48310.333333333336</v>
      </c>
      <c r="K10" s="65">
        <v>48441.416666666664</v>
      </c>
      <c r="M10" s="73" t="s">
        <v>87</v>
      </c>
      <c r="N10" s="3">
        <v>4</v>
      </c>
      <c r="O10" s="1">
        <v>91986.077999999994</v>
      </c>
      <c r="P10" s="1">
        <v>88294.467000000004</v>
      </c>
      <c r="Q10" s="1">
        <v>84332.835999999996</v>
      </c>
      <c r="R10" s="1">
        <v>84088.141999999993</v>
      </c>
      <c r="S10" s="1">
        <v>83221.301999999996</v>
      </c>
      <c r="T10" s="1">
        <v>83233.619000000006</v>
      </c>
      <c r="U10" s="1">
        <v>82331.187999999995</v>
      </c>
      <c r="V10" s="65">
        <v>82515.968999999997</v>
      </c>
      <c r="X10" s="73" t="s">
        <v>87</v>
      </c>
      <c r="Y10" s="3">
        <v>4</v>
      </c>
      <c r="Z10" s="65">
        <f t="shared" ref="Z10:AF11" si="3">IF(D10=0," ",ROUND((O10/D10)*1000,0))</f>
        <v>1741</v>
      </c>
      <c r="AA10" s="65">
        <f t="shared" si="3"/>
        <v>1714</v>
      </c>
      <c r="AB10" s="65">
        <f t="shared" si="3"/>
        <v>1710</v>
      </c>
      <c r="AC10" s="65">
        <f t="shared" si="3"/>
        <v>1710</v>
      </c>
      <c r="AD10" s="65">
        <f t="shared" si="3"/>
        <v>1707</v>
      </c>
      <c r="AE10" s="65">
        <f t="shared" si="3"/>
        <v>1707</v>
      </c>
      <c r="AF10" s="65">
        <f t="shared" si="3"/>
        <v>1704</v>
      </c>
      <c r="AG10" s="65">
        <f>IF(K10=0," ",ROUND((V10/K10)*1000,0))</f>
        <v>1703</v>
      </c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</row>
    <row r="11" spans="1:67" x14ac:dyDescent="0.2">
      <c r="A11" s="73" t="s">
        <v>87</v>
      </c>
      <c r="D11" s="1">
        <f>D7</f>
        <v>79822.916666666672</v>
      </c>
      <c r="E11" s="1">
        <f>E7+D8</f>
        <v>158092.58333333331</v>
      </c>
      <c r="F11" s="1">
        <f>F7+E8+D9</f>
        <v>216081.66666666669</v>
      </c>
      <c r="G11" s="1">
        <f>G7+F8+E9+D10</f>
        <v>261757.25</v>
      </c>
      <c r="H11" s="1">
        <f>H7+G8+F9+E10</f>
        <v>255831.33333333331</v>
      </c>
      <c r="I11" s="1">
        <f>I7+H8+G9+F10</f>
        <v>252623.66666666666</v>
      </c>
      <c r="J11" s="1">
        <f>J7+I8+H9+G10</f>
        <v>252302.41666666669</v>
      </c>
      <c r="K11" s="65">
        <f>SUM(K7:K10)</f>
        <v>251482.58333333331</v>
      </c>
      <c r="M11" s="73" t="s">
        <v>87</v>
      </c>
      <c r="O11" s="1">
        <f>O7</f>
        <v>128186.91100000001</v>
      </c>
      <c r="P11" s="1">
        <f>P7+O8</f>
        <v>257673.75599999999</v>
      </c>
      <c r="Q11" s="1">
        <f>Q7+P8+O9</f>
        <v>355446.15600000002</v>
      </c>
      <c r="R11" s="1">
        <f>R7+Q8+P9+O10</f>
        <v>433339.97399999999</v>
      </c>
      <c r="S11" s="1">
        <f>S7+R8+Q9+P10</f>
        <v>421545.75</v>
      </c>
      <c r="T11" s="1">
        <f>T7+S8+R9+Q10</f>
        <v>415554.59299999999</v>
      </c>
      <c r="U11" s="1">
        <f>U7+T8+S9+R10</f>
        <v>414885.94899999996</v>
      </c>
      <c r="V11" s="65">
        <f>SUM(V7:V10)</f>
        <v>412909.79800000001</v>
      </c>
      <c r="X11" s="73" t="s">
        <v>87</v>
      </c>
      <c r="Z11" s="65">
        <f t="shared" si="3"/>
        <v>1606</v>
      </c>
      <c r="AA11" s="65">
        <f t="shared" si="3"/>
        <v>1630</v>
      </c>
      <c r="AB11" s="65">
        <f t="shared" si="3"/>
        <v>1645</v>
      </c>
      <c r="AC11" s="65">
        <f>IF(G11=0," ",ROUND((R11/G11)*1000,0))</f>
        <v>1656</v>
      </c>
      <c r="AD11" s="65">
        <f>IF(H11=0," ",ROUND((S11/H11)*1000,0))</f>
        <v>1648</v>
      </c>
      <c r="AE11" s="65">
        <f>IF(I11=0," ",ROUND((T11/I11)*1000,0))</f>
        <v>1645</v>
      </c>
      <c r="AF11" s="65">
        <f>IF(J11=0," ",ROUND((U11/J11)*1000,0))</f>
        <v>1644</v>
      </c>
      <c r="AG11" s="65">
        <f>IF(K11=0," ",ROUND((V11/K11)*1000,0))</f>
        <v>1642</v>
      </c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</row>
    <row r="12" spans="1:67" x14ac:dyDescent="0.2">
      <c r="A12" s="73"/>
      <c r="D12" s="85"/>
      <c r="E12" s="1"/>
      <c r="F12" s="1"/>
      <c r="G12" s="1"/>
      <c r="H12" s="1"/>
      <c r="I12" s="1"/>
      <c r="J12" s="1"/>
      <c r="K12" s="65"/>
      <c r="M12" s="73"/>
      <c r="O12" s="85"/>
      <c r="P12" s="1"/>
      <c r="Q12" s="1"/>
      <c r="R12" s="1"/>
      <c r="S12" s="1"/>
      <c r="T12" s="1"/>
      <c r="V12" s="65"/>
      <c r="X12" s="73"/>
      <c r="Z12" s="65"/>
      <c r="AA12" s="65"/>
      <c r="AB12" s="65"/>
      <c r="AC12" s="65"/>
      <c r="AD12" s="65"/>
      <c r="AE12" s="65"/>
      <c r="AG12" s="65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</row>
    <row r="13" spans="1:67" x14ac:dyDescent="0.2">
      <c r="A13" s="73" t="s">
        <v>95</v>
      </c>
      <c r="B13" s="3">
        <v>1</v>
      </c>
      <c r="D13" s="1">
        <v>41158.666666666664</v>
      </c>
      <c r="E13" s="1">
        <v>56439.416666666664</v>
      </c>
      <c r="F13" s="1">
        <v>55221.583333333336</v>
      </c>
      <c r="G13" s="1">
        <v>53542.833333333336</v>
      </c>
      <c r="H13" s="1">
        <v>53542.166666666664</v>
      </c>
      <c r="I13" s="1">
        <v>53364.583333333336</v>
      </c>
      <c r="J13" s="1">
        <v>53381.083333333336</v>
      </c>
      <c r="K13" s="65">
        <v>53366.416666666664</v>
      </c>
      <c r="M13" s="73" t="s">
        <v>95</v>
      </c>
      <c r="N13" s="3">
        <v>1</v>
      </c>
      <c r="O13" s="1">
        <v>64466.572</v>
      </c>
      <c r="P13" s="1">
        <v>86086.395999999993</v>
      </c>
      <c r="Q13" s="1">
        <v>83993.327999999994</v>
      </c>
      <c r="R13" s="1">
        <v>80923.756999999983</v>
      </c>
      <c r="S13" s="1">
        <v>80917.164999999994</v>
      </c>
      <c r="T13" s="1">
        <v>80788.897000000012</v>
      </c>
      <c r="U13" s="1">
        <v>80800.918999999994</v>
      </c>
      <c r="V13" s="65">
        <v>80777.646999999997</v>
      </c>
      <c r="X13" s="73" t="s">
        <v>95</v>
      </c>
      <c r="Y13" s="3">
        <v>1</v>
      </c>
      <c r="Z13" s="65">
        <f t="shared" ref="Z13:AG13" si="4">IF(D13=0," ",ROUND((O13/D13)*1000,0))</f>
        <v>1566</v>
      </c>
      <c r="AA13" s="65">
        <f t="shared" si="4"/>
        <v>1525</v>
      </c>
      <c r="AB13" s="65">
        <f t="shared" si="4"/>
        <v>1521</v>
      </c>
      <c r="AC13" s="65">
        <f t="shared" si="4"/>
        <v>1511</v>
      </c>
      <c r="AD13" s="65">
        <f t="shared" si="4"/>
        <v>1511</v>
      </c>
      <c r="AE13" s="65">
        <f t="shared" si="4"/>
        <v>1514</v>
      </c>
      <c r="AF13" s="65">
        <f t="shared" si="4"/>
        <v>1514</v>
      </c>
      <c r="AG13" s="65">
        <f t="shared" si="4"/>
        <v>1514</v>
      </c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</row>
    <row r="14" spans="1:67" x14ac:dyDescent="0.2">
      <c r="A14" s="73" t="s">
        <v>95</v>
      </c>
      <c r="B14" s="3">
        <v>2</v>
      </c>
      <c r="D14" s="1">
        <v>56433.166666666664</v>
      </c>
      <c r="E14" s="1">
        <v>57469.916666666664</v>
      </c>
      <c r="F14" s="1">
        <v>53156.416666666664</v>
      </c>
      <c r="G14" s="1">
        <v>53164.583333333336</v>
      </c>
      <c r="H14" s="1">
        <v>52691.916666666664</v>
      </c>
      <c r="I14" s="1">
        <v>52688.083333333336</v>
      </c>
      <c r="J14" s="1">
        <v>52686.583333333336</v>
      </c>
      <c r="K14" s="65">
        <v>52672.166666666664</v>
      </c>
      <c r="M14" s="73" t="s">
        <v>95</v>
      </c>
      <c r="N14" s="3">
        <v>2</v>
      </c>
      <c r="O14" s="1">
        <v>87524.489000000001</v>
      </c>
      <c r="P14" s="1">
        <v>88304.763999999996</v>
      </c>
      <c r="Q14" s="1">
        <v>80913.948000000004</v>
      </c>
      <c r="R14" s="1">
        <v>80774.50499999999</v>
      </c>
      <c r="S14" s="1">
        <v>80187.021999999997</v>
      </c>
      <c r="T14" s="1">
        <v>80159.024000000005</v>
      </c>
      <c r="U14" s="1">
        <v>80144.81700000001</v>
      </c>
      <c r="V14" s="65">
        <v>80110.565000000002</v>
      </c>
      <c r="X14" s="73" t="s">
        <v>95</v>
      </c>
      <c r="Y14" s="3">
        <v>2</v>
      </c>
      <c r="Z14" s="65">
        <f t="shared" ref="Z14:AF16" si="5">IF(D14=0," ",ROUND((O14/D14)*1000,0))</f>
        <v>1551</v>
      </c>
      <c r="AA14" s="65">
        <f t="shared" si="5"/>
        <v>1537</v>
      </c>
      <c r="AB14" s="65">
        <f t="shared" si="5"/>
        <v>1522</v>
      </c>
      <c r="AC14" s="65">
        <f t="shared" si="5"/>
        <v>1519</v>
      </c>
      <c r="AD14" s="65">
        <f t="shared" si="5"/>
        <v>1522</v>
      </c>
      <c r="AE14" s="65">
        <f>IF(I14=0," ",ROUND((T14/I14)*1000,0))</f>
        <v>1521</v>
      </c>
      <c r="AF14" s="65">
        <f>IF(J14=0," ",ROUND((U14/J14)*1000,0))</f>
        <v>1521</v>
      </c>
      <c r="AG14" s="65">
        <f>IF(K14=0," ",ROUND((V14/K14)*1000,0))</f>
        <v>1521</v>
      </c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</row>
    <row r="15" spans="1:67" x14ac:dyDescent="0.2">
      <c r="A15" s="73" t="s">
        <v>95</v>
      </c>
      <c r="B15" s="3">
        <v>3</v>
      </c>
      <c r="D15" s="1">
        <v>58343.75</v>
      </c>
      <c r="E15" s="1">
        <v>53725.416666666664</v>
      </c>
      <c r="F15" s="1">
        <v>51918.416666666664</v>
      </c>
      <c r="G15" s="1">
        <v>50973.25</v>
      </c>
      <c r="H15" s="1">
        <v>50808.75</v>
      </c>
      <c r="I15" s="1">
        <v>50791.416666666664</v>
      </c>
      <c r="J15" s="1">
        <v>50781.083333333336</v>
      </c>
      <c r="K15" s="65">
        <v>50776.25</v>
      </c>
      <c r="M15" s="73" t="s">
        <v>95</v>
      </c>
      <c r="N15" s="3">
        <v>3</v>
      </c>
      <c r="O15" s="1">
        <v>92958.01</v>
      </c>
      <c r="P15" s="1">
        <v>82879.560999999987</v>
      </c>
      <c r="Q15" s="1">
        <v>79810.826000000001</v>
      </c>
      <c r="R15" s="1">
        <v>78279.699000000008</v>
      </c>
      <c r="S15" s="1">
        <v>77964.501000000004</v>
      </c>
      <c r="T15" s="1">
        <v>77934.828000000009</v>
      </c>
      <c r="U15" s="1">
        <v>77917.654999999999</v>
      </c>
      <c r="V15" s="65">
        <v>77908.872000000003</v>
      </c>
      <c r="X15" s="73" t="s">
        <v>95</v>
      </c>
      <c r="Y15" s="3">
        <v>3</v>
      </c>
      <c r="Z15" s="65">
        <f t="shared" si="5"/>
        <v>1593</v>
      </c>
      <c r="AA15" s="65">
        <f t="shared" si="5"/>
        <v>1543</v>
      </c>
      <c r="AB15" s="65">
        <f t="shared" si="5"/>
        <v>1537</v>
      </c>
      <c r="AC15" s="65">
        <f t="shared" si="5"/>
        <v>1536</v>
      </c>
      <c r="AD15" s="65">
        <f t="shared" si="5"/>
        <v>1534</v>
      </c>
      <c r="AE15" s="65">
        <f t="shared" si="5"/>
        <v>1534</v>
      </c>
      <c r="AF15" s="65">
        <f t="shared" si="5"/>
        <v>1534</v>
      </c>
      <c r="AG15" s="65">
        <f>IF(K15=0," ",ROUND((V15/K15)*1000,0))</f>
        <v>1534</v>
      </c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</row>
    <row r="16" spans="1:67" x14ac:dyDescent="0.2">
      <c r="A16" s="73" t="s">
        <v>95</v>
      </c>
      <c r="B16" s="3">
        <v>4</v>
      </c>
      <c r="D16" s="1">
        <v>48152.666666666664</v>
      </c>
      <c r="E16" s="1">
        <v>47430.75</v>
      </c>
      <c r="F16" s="1">
        <v>45634.166666666664</v>
      </c>
      <c r="G16" s="1">
        <v>44995.416666666664</v>
      </c>
      <c r="H16" s="1">
        <v>44844.666666666664</v>
      </c>
      <c r="I16" s="1">
        <v>44841.416666666664</v>
      </c>
      <c r="J16" s="1">
        <v>44837.25</v>
      </c>
      <c r="K16" s="65">
        <v>44830.833333333336</v>
      </c>
      <c r="M16" s="73" t="s">
        <v>95</v>
      </c>
      <c r="N16" s="3">
        <v>4</v>
      </c>
      <c r="O16" s="1">
        <v>74110.335999999996</v>
      </c>
      <c r="P16" s="1">
        <v>72230.053</v>
      </c>
      <c r="Q16" s="1">
        <v>69179.422000000006</v>
      </c>
      <c r="R16" s="1">
        <v>68051.175000000003</v>
      </c>
      <c r="S16" s="1">
        <v>67808.566999999995</v>
      </c>
      <c r="T16" s="1">
        <v>67786.615000000005</v>
      </c>
      <c r="U16" s="1">
        <v>67775.49500000001</v>
      </c>
      <c r="V16" s="65">
        <v>67767.527999999991</v>
      </c>
      <c r="X16" s="73" t="s">
        <v>95</v>
      </c>
      <c r="Y16" s="3">
        <v>4</v>
      </c>
      <c r="Z16" s="65">
        <f t="shared" ref="Z16:AB17" si="6">IF(D16=0," ",ROUND((O16/D16)*1000,0))</f>
        <v>1539</v>
      </c>
      <c r="AA16" s="65">
        <f t="shared" si="6"/>
        <v>1523</v>
      </c>
      <c r="AB16" s="65">
        <f t="shared" si="6"/>
        <v>1516</v>
      </c>
      <c r="AC16" s="65">
        <f t="shared" si="5"/>
        <v>1512</v>
      </c>
      <c r="AD16" s="65">
        <f t="shared" si="5"/>
        <v>1512</v>
      </c>
      <c r="AE16" s="65">
        <f t="shared" si="5"/>
        <v>1512</v>
      </c>
      <c r="AF16" s="65">
        <f t="shared" si="5"/>
        <v>1512</v>
      </c>
      <c r="AG16" s="65">
        <f>IF(K16=0," ",ROUND((V16/K16)*1000,0))</f>
        <v>1512</v>
      </c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</row>
    <row r="17" spans="1:67" x14ac:dyDescent="0.2">
      <c r="A17" s="73" t="s">
        <v>95</v>
      </c>
      <c r="D17" s="1">
        <f>D13</f>
        <v>41158.666666666664</v>
      </c>
      <c r="E17" s="1">
        <f>E13+D14</f>
        <v>112872.58333333333</v>
      </c>
      <c r="F17" s="1">
        <f>F13+E14+D15</f>
        <v>171035.25</v>
      </c>
      <c r="G17" s="1">
        <f>G13+F14+E15+D16</f>
        <v>208577.33333333331</v>
      </c>
      <c r="H17" s="1">
        <f>H13+G14+F15+E16</f>
        <v>206055.91666666666</v>
      </c>
      <c r="I17" s="1">
        <f>I13+H14+G15+F16</f>
        <v>202663.91666666666</v>
      </c>
      <c r="J17" s="1">
        <f>J13+I14+H15+G16</f>
        <v>201873.33333333334</v>
      </c>
      <c r="K17" s="65">
        <f>SUM(K13:K16)</f>
        <v>201645.66666666666</v>
      </c>
      <c r="M17" s="73" t="s">
        <v>95</v>
      </c>
      <c r="O17" s="1">
        <f>O13</f>
        <v>64466.572</v>
      </c>
      <c r="P17" s="1">
        <f>P13+O14</f>
        <v>173610.88500000001</v>
      </c>
      <c r="Q17" s="1">
        <f>Q13+P14+O15</f>
        <v>265256.10200000001</v>
      </c>
      <c r="R17" s="1">
        <f>R13+Q14+P15+O16</f>
        <v>318827.60199999996</v>
      </c>
      <c r="S17" s="1">
        <f>S13+R14+Q15+P16</f>
        <v>313732.549</v>
      </c>
      <c r="T17" s="1">
        <f>T13+S14+R15+Q16</f>
        <v>308435.04000000004</v>
      </c>
      <c r="U17" s="1">
        <f>U13+T14+S15+R16</f>
        <v>306975.61900000001</v>
      </c>
      <c r="V17" s="65">
        <f>SUM(V13:V16)</f>
        <v>306564.61199999996</v>
      </c>
      <c r="X17" s="73" t="s">
        <v>95</v>
      </c>
      <c r="Z17" s="65">
        <f t="shared" si="6"/>
        <v>1566</v>
      </c>
      <c r="AA17" s="65">
        <f t="shared" si="6"/>
        <v>1538</v>
      </c>
      <c r="AB17" s="65">
        <f t="shared" si="6"/>
        <v>1551</v>
      </c>
      <c r="AC17" s="65">
        <f>IF(G17=0," ",ROUND((R17/G17)*1000,0))</f>
        <v>1529</v>
      </c>
      <c r="AD17" s="65">
        <f>IF(H17=0," ",ROUND((S17/H17)*1000,0))</f>
        <v>1523</v>
      </c>
      <c r="AE17" s="65">
        <f>IF(I17=0," ",ROUND((T17/I17)*1000,0))</f>
        <v>1522</v>
      </c>
      <c r="AF17" s="65">
        <f>IF(J17=0," ",ROUND((U17/J17)*1000,0))</f>
        <v>1521</v>
      </c>
      <c r="AG17" s="65">
        <f>IF(K17=0," ",ROUND((V17/K17)*1000,0))</f>
        <v>1520</v>
      </c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</row>
    <row r="18" spans="1:67" x14ac:dyDescent="0.2">
      <c r="A18" s="73"/>
      <c r="D18" s="85"/>
      <c r="E18" s="1"/>
      <c r="F18" s="1"/>
      <c r="G18" s="1"/>
      <c r="H18" s="1"/>
      <c r="I18" s="1"/>
      <c r="K18" s="65"/>
      <c r="M18" s="73"/>
      <c r="O18" s="89"/>
      <c r="P18" s="1"/>
      <c r="Q18" s="1"/>
      <c r="R18" s="1"/>
      <c r="S18" s="1"/>
      <c r="T18" s="1"/>
      <c r="V18" s="65"/>
      <c r="X18" s="73"/>
      <c r="Z18" s="87"/>
      <c r="AA18" s="65"/>
      <c r="AB18" s="65"/>
      <c r="AC18" s="65"/>
      <c r="AD18" s="65"/>
      <c r="AE18" s="65"/>
      <c r="AG18" s="65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</row>
    <row r="19" spans="1:67" x14ac:dyDescent="0.2">
      <c r="A19" s="73" t="s">
        <v>97</v>
      </c>
      <c r="B19" s="3">
        <v>1</v>
      </c>
      <c r="D19" s="1">
        <v>48137.333333333336</v>
      </c>
      <c r="E19" s="1">
        <v>47468.416666666664</v>
      </c>
      <c r="F19" s="1">
        <v>45053.666666666664</v>
      </c>
      <c r="G19" s="1">
        <v>44405.583333333336</v>
      </c>
      <c r="H19" s="1">
        <v>44235.416666666664</v>
      </c>
      <c r="I19" s="1">
        <v>44233.666666666664</v>
      </c>
      <c r="J19" s="1">
        <v>44229.666666666664</v>
      </c>
      <c r="K19" s="65">
        <v>43861</v>
      </c>
      <c r="M19" s="73" t="s">
        <v>97</v>
      </c>
      <c r="N19" s="3">
        <v>1</v>
      </c>
      <c r="O19" s="1">
        <v>74622.96100000001</v>
      </c>
      <c r="P19" s="1">
        <v>72748.108999999997</v>
      </c>
      <c r="Q19" s="1">
        <v>68564.557000000001</v>
      </c>
      <c r="R19" s="1">
        <v>67401.313999999998</v>
      </c>
      <c r="S19" s="1">
        <v>67171.025999999998</v>
      </c>
      <c r="T19" s="1">
        <v>67164.981</v>
      </c>
      <c r="U19" s="1">
        <v>67153.777000000002</v>
      </c>
      <c r="V19" s="65">
        <v>66678</v>
      </c>
      <c r="X19" s="73" t="s">
        <v>97</v>
      </c>
      <c r="Y19" s="3">
        <v>1</v>
      </c>
      <c r="Z19" s="65">
        <f t="shared" ref="Z19:AF19" si="7">IF(D19=0," ",ROUND((O19/D19)*1000,0))</f>
        <v>1550</v>
      </c>
      <c r="AA19" s="65">
        <f t="shared" si="7"/>
        <v>1533</v>
      </c>
      <c r="AB19" s="65">
        <f t="shared" si="7"/>
        <v>1522</v>
      </c>
      <c r="AC19" s="65">
        <f t="shared" si="7"/>
        <v>1518</v>
      </c>
      <c r="AD19" s="65">
        <f t="shared" si="7"/>
        <v>1518</v>
      </c>
      <c r="AE19" s="65">
        <f t="shared" si="7"/>
        <v>1518</v>
      </c>
      <c r="AF19" s="65">
        <f t="shared" si="7"/>
        <v>1518</v>
      </c>
      <c r="AG19" s="65">
        <f>IF(K19=0," ",ROUND((V19/K19)*1000,0))</f>
        <v>1520</v>
      </c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</row>
    <row r="20" spans="1:67" x14ac:dyDescent="0.2">
      <c r="A20" s="73" t="s">
        <v>97</v>
      </c>
      <c r="B20" s="3">
        <v>2</v>
      </c>
      <c r="D20" s="1">
        <v>49783.833333333336</v>
      </c>
      <c r="E20" s="1">
        <v>49453.666666666664</v>
      </c>
      <c r="F20" s="1">
        <v>47112.583333333336</v>
      </c>
      <c r="G20" s="1">
        <v>46418.083333333336</v>
      </c>
      <c r="H20" s="1">
        <v>46305.916666666664</v>
      </c>
      <c r="I20" s="1">
        <v>46316.916666666664</v>
      </c>
      <c r="J20" s="1">
        <v>46320.5</v>
      </c>
      <c r="K20" s="65">
        <v>45543</v>
      </c>
      <c r="M20" s="73" t="s">
        <v>97</v>
      </c>
      <c r="N20" s="3">
        <v>2</v>
      </c>
      <c r="O20" s="1">
        <v>72065.307000000001</v>
      </c>
      <c r="P20" s="1">
        <v>70711.608000000007</v>
      </c>
      <c r="Q20" s="1">
        <v>67175.06</v>
      </c>
      <c r="R20" s="1">
        <v>66066.788</v>
      </c>
      <c r="S20" s="1">
        <v>65881.64499999999</v>
      </c>
      <c r="T20" s="1">
        <v>65877.157999999996</v>
      </c>
      <c r="U20" s="1">
        <v>65881.188999999998</v>
      </c>
      <c r="V20" s="65">
        <v>64929</v>
      </c>
      <c r="X20" s="73" t="s">
        <v>97</v>
      </c>
      <c r="Y20" s="3">
        <v>2</v>
      </c>
      <c r="Z20" s="65">
        <f t="shared" ref="Z20:AB22" si="8">IF(D20=0," ",ROUND((O20/D20)*1000,0))</f>
        <v>1448</v>
      </c>
      <c r="AA20" s="65">
        <f t="shared" ref="AA20:AF20" si="9">IF(E20=0," ",ROUND((P20/E20)*1000,0))</f>
        <v>1430</v>
      </c>
      <c r="AB20" s="65">
        <f t="shared" si="9"/>
        <v>1426</v>
      </c>
      <c r="AC20" s="65">
        <f t="shared" si="9"/>
        <v>1423</v>
      </c>
      <c r="AD20" s="65">
        <f t="shared" si="9"/>
        <v>1423</v>
      </c>
      <c r="AE20" s="65">
        <f t="shared" si="9"/>
        <v>1422</v>
      </c>
      <c r="AF20" s="65">
        <f t="shared" si="9"/>
        <v>1422</v>
      </c>
      <c r="AG20" s="65">
        <f>IF(K20=0," ",ROUND((V20/K20)*1000,0))</f>
        <v>1426</v>
      </c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</row>
    <row r="21" spans="1:67" x14ac:dyDescent="0.2">
      <c r="A21" s="73" t="s">
        <v>97</v>
      </c>
      <c r="B21" s="3">
        <v>3</v>
      </c>
      <c r="D21" s="1">
        <v>50195.75</v>
      </c>
      <c r="E21" s="1">
        <v>49188.833333333336</v>
      </c>
      <c r="F21" s="1">
        <v>47270.75</v>
      </c>
      <c r="G21" s="1">
        <v>46906.25</v>
      </c>
      <c r="H21" s="1">
        <v>46736.25</v>
      </c>
      <c r="I21" s="1">
        <v>46738</v>
      </c>
      <c r="J21" s="1">
        <v>46739.833333333336</v>
      </c>
      <c r="K21" s="65">
        <v>45932</v>
      </c>
      <c r="M21" s="73" t="s">
        <v>97</v>
      </c>
      <c r="N21" s="3">
        <v>3</v>
      </c>
      <c r="O21" s="1">
        <v>74423.777000000002</v>
      </c>
      <c r="P21" s="1">
        <v>72299.495999999999</v>
      </c>
      <c r="Q21" s="1">
        <v>69256.22</v>
      </c>
      <c r="R21" s="1">
        <v>68598.622000000003</v>
      </c>
      <c r="S21" s="1">
        <v>68283.813999999998</v>
      </c>
      <c r="T21" s="1">
        <v>68262.146999999997</v>
      </c>
      <c r="U21" s="1">
        <v>68256.104999999981</v>
      </c>
      <c r="V21" s="65">
        <v>67271</v>
      </c>
      <c r="X21" s="73" t="s">
        <v>97</v>
      </c>
      <c r="Y21" s="3">
        <v>3</v>
      </c>
      <c r="Z21" s="65">
        <f t="shared" si="8"/>
        <v>1483</v>
      </c>
      <c r="AA21" s="65">
        <f t="shared" si="8"/>
        <v>1470</v>
      </c>
      <c r="AB21" s="65">
        <f t="shared" si="8"/>
        <v>1465</v>
      </c>
      <c r="AC21" s="65">
        <f t="shared" ref="AC21:AF22" si="10">IF(G21=0," ",ROUND((R21/G21)*1000,0))</f>
        <v>1462</v>
      </c>
      <c r="AD21" s="65">
        <f t="shared" si="10"/>
        <v>1461</v>
      </c>
      <c r="AE21" s="65">
        <f t="shared" si="10"/>
        <v>1461</v>
      </c>
      <c r="AF21" s="65">
        <f t="shared" si="10"/>
        <v>1460</v>
      </c>
      <c r="AG21" s="65">
        <f>IF(K21=0," ",ROUND((V21/K21)*1000,0))</f>
        <v>1465</v>
      </c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</row>
    <row r="22" spans="1:67" x14ac:dyDescent="0.2">
      <c r="A22" s="73" t="s">
        <v>97</v>
      </c>
      <c r="B22" s="3">
        <v>4</v>
      </c>
      <c r="D22" s="1">
        <v>43538.333333333336</v>
      </c>
      <c r="E22" s="1">
        <v>42575.25</v>
      </c>
      <c r="F22" s="1">
        <v>41037.833333333336</v>
      </c>
      <c r="G22" s="1">
        <v>40409.333333333336</v>
      </c>
      <c r="H22" s="1">
        <v>40266.583333333336</v>
      </c>
      <c r="I22" s="1">
        <v>40267.916666666664</v>
      </c>
      <c r="J22" s="1">
        <v>40265.583333333336</v>
      </c>
      <c r="K22" s="65">
        <v>39554.5</v>
      </c>
      <c r="M22" s="73" t="s">
        <v>97</v>
      </c>
      <c r="N22" s="3">
        <v>4</v>
      </c>
      <c r="O22" s="1">
        <v>64943.445000000007</v>
      </c>
      <c r="P22" s="1">
        <v>62934.846000000005</v>
      </c>
      <c r="Q22" s="1">
        <v>60342.273000000001</v>
      </c>
      <c r="R22" s="1">
        <v>59196.449000000001</v>
      </c>
      <c r="S22" s="1">
        <v>58951.675999999999</v>
      </c>
      <c r="T22" s="1">
        <v>58953.233</v>
      </c>
      <c r="U22" s="1">
        <v>58944.37</v>
      </c>
      <c r="V22" s="65">
        <v>58046</v>
      </c>
      <c r="X22" s="73" t="s">
        <v>97</v>
      </c>
      <c r="Y22" s="3">
        <v>4</v>
      </c>
      <c r="Z22" s="65">
        <f t="shared" si="8"/>
        <v>1492</v>
      </c>
      <c r="AA22" s="65">
        <f t="shared" si="8"/>
        <v>1478</v>
      </c>
      <c r="AB22" s="65">
        <f>IF(F22=0," ",ROUND((Q22/F22)*1000,0))</f>
        <v>1470</v>
      </c>
      <c r="AC22" s="65">
        <f t="shared" si="10"/>
        <v>1465</v>
      </c>
      <c r="AD22" s="65">
        <f t="shared" si="10"/>
        <v>1464</v>
      </c>
      <c r="AE22" s="65">
        <f t="shared" si="10"/>
        <v>1464</v>
      </c>
      <c r="AF22" s="65">
        <f t="shared" si="10"/>
        <v>1464</v>
      </c>
      <c r="AG22" s="65">
        <f>IF(K22=0," ",ROUND((V22/K22)*1000,0))</f>
        <v>1467</v>
      </c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</row>
    <row r="23" spans="1:67" x14ac:dyDescent="0.2">
      <c r="A23" s="73" t="s">
        <v>97</v>
      </c>
      <c r="D23" s="1">
        <f>D19</f>
        <v>48137.333333333336</v>
      </c>
      <c r="E23" s="1">
        <f>E19+D20</f>
        <v>97252.25</v>
      </c>
      <c r="F23" s="1">
        <f>F19+E20+D21</f>
        <v>144703.08333333331</v>
      </c>
      <c r="G23" s="1">
        <f>G19+F20+E21+D22</f>
        <v>184245.33333333334</v>
      </c>
      <c r="H23" s="1">
        <f>H19+G20+F21+E22</f>
        <v>180499.5</v>
      </c>
      <c r="I23" s="1">
        <f>I19+H20+G21+F22</f>
        <v>178483.66666666666</v>
      </c>
      <c r="J23" s="1">
        <f>J19+I20+H21+G22</f>
        <v>177692.16666666666</v>
      </c>
      <c r="K23" s="65">
        <f>SUM(K19:K22)</f>
        <v>174890.5</v>
      </c>
      <c r="M23" s="73" t="s">
        <v>97</v>
      </c>
      <c r="O23" s="1">
        <f>O19</f>
        <v>74622.96100000001</v>
      </c>
      <c r="P23" s="1">
        <f>P19+O20</f>
        <v>144813.416</v>
      </c>
      <c r="Q23" s="1">
        <f>Q19+P20+O21</f>
        <v>213699.94200000001</v>
      </c>
      <c r="R23" s="1">
        <f>R19+Q20+P21+O22</f>
        <v>271819.315</v>
      </c>
      <c r="S23" s="1">
        <f>S19+R20+Q21+P22</f>
        <v>265428.88</v>
      </c>
      <c r="T23" s="1">
        <f>T19+S20+R21+Q22</f>
        <v>261987.52100000001</v>
      </c>
      <c r="U23" s="1">
        <f>U19+T20+S21+R22</f>
        <v>260511.198</v>
      </c>
      <c r="V23" s="65">
        <f>SUM(V19:V22)</f>
        <v>256924</v>
      </c>
      <c r="X23" s="73" t="s">
        <v>97</v>
      </c>
      <c r="Z23" s="65">
        <f>IF(D23=0," ",ROUND((O23/D23)*1000,0))</f>
        <v>1550</v>
      </c>
      <c r="AA23" s="65">
        <f>IF(E23=0," ",ROUND((P23/E23)*1000,0))</f>
        <v>1489</v>
      </c>
      <c r="AB23" s="65">
        <f>IF(F23=0," ",ROUND((Q23/F23)*1000,0))</f>
        <v>1477</v>
      </c>
      <c r="AC23" s="65">
        <f>IF(G23=0," ",ROUND((R23/G23)*1000,0))</f>
        <v>1475</v>
      </c>
      <c r="AD23" s="65">
        <f>IF(H23=0," ",ROUND((S23/H23)*1000,0))</f>
        <v>1471</v>
      </c>
      <c r="AE23" s="65">
        <f>IF(I23=0," ",ROUND((T23/I23)*1000,0))</f>
        <v>1468</v>
      </c>
      <c r="AF23" s="65">
        <f>IF(J23=0," ",ROUND((U23/J23)*1000,0))</f>
        <v>1466</v>
      </c>
      <c r="AG23" s="65">
        <f>IF(K23=0," ",ROUND((V23/K23)*1000,0))</f>
        <v>1469</v>
      </c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</row>
    <row r="24" spans="1:67" x14ac:dyDescent="0.2">
      <c r="A24" s="73"/>
      <c r="D24" s="85"/>
      <c r="E24" s="1"/>
      <c r="F24" s="1"/>
      <c r="G24" s="1"/>
      <c r="H24" s="1"/>
      <c r="I24" s="1"/>
      <c r="J24" s="1"/>
      <c r="K24" s="65"/>
      <c r="M24" s="73"/>
      <c r="O24" s="89"/>
      <c r="P24" s="1"/>
      <c r="Q24" s="1"/>
      <c r="R24" s="1"/>
      <c r="S24" s="1"/>
      <c r="T24" s="1"/>
      <c r="V24" s="65"/>
      <c r="X24" s="73"/>
      <c r="Z24" s="88"/>
      <c r="AA24" s="65"/>
      <c r="AB24" s="65"/>
      <c r="AC24" s="65"/>
      <c r="AD24" s="65"/>
      <c r="AE24" s="65"/>
      <c r="AG24" s="65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</row>
    <row r="25" spans="1:67" x14ac:dyDescent="0.2">
      <c r="A25" s="73" t="s">
        <v>99</v>
      </c>
      <c r="B25" s="3">
        <v>1</v>
      </c>
      <c r="D25" s="1">
        <v>47050.916666666664</v>
      </c>
      <c r="E25" s="1">
        <v>45910.75</v>
      </c>
      <c r="F25" s="1">
        <v>43568.5</v>
      </c>
      <c r="G25" s="1">
        <v>42932.25</v>
      </c>
      <c r="H25" s="1">
        <v>42824.416666666664</v>
      </c>
      <c r="I25" s="1">
        <v>42818.166666666664</v>
      </c>
      <c r="J25" s="1">
        <v>42815.833333333336</v>
      </c>
      <c r="K25" s="65">
        <v>42134</v>
      </c>
      <c r="M25" s="73" t="s">
        <v>99</v>
      </c>
      <c r="N25" s="3">
        <v>1</v>
      </c>
      <c r="O25" s="1">
        <v>69661.017999999996</v>
      </c>
      <c r="P25" s="1">
        <v>67296.197000000015</v>
      </c>
      <c r="Q25" s="1">
        <v>63376.633000000002</v>
      </c>
      <c r="R25" s="1">
        <v>62182.692999999992</v>
      </c>
      <c r="S25" s="1">
        <v>61959.172000000006</v>
      </c>
      <c r="T25" s="1">
        <v>61934.408999999992</v>
      </c>
      <c r="U25" s="1">
        <v>61924.532000000007</v>
      </c>
      <c r="V25" s="65">
        <v>61126</v>
      </c>
      <c r="X25" s="73" t="s">
        <v>99</v>
      </c>
      <c r="Y25" s="3">
        <v>1</v>
      </c>
      <c r="Z25" s="65">
        <f t="shared" ref="Z25:AA29" si="11">IF(D25=0," ",ROUND((O25/D25)*1000,0))</f>
        <v>1481</v>
      </c>
      <c r="AA25" s="65">
        <f t="shared" si="11"/>
        <v>1466</v>
      </c>
      <c r="AB25" s="65">
        <f t="shared" ref="AB25:AD28" si="12">IF(F25=0," ",ROUND((Q25/F25)*1000,0))</f>
        <v>1455</v>
      </c>
      <c r="AC25" s="65">
        <f t="shared" si="12"/>
        <v>1448</v>
      </c>
      <c r="AD25" s="65">
        <f>IF(H25=0," ",ROUND((S25/H25)*1000,0))</f>
        <v>1447</v>
      </c>
      <c r="AE25" s="65">
        <f>IF(I25=0," ",ROUND((T25/I25)*1000,0))</f>
        <v>1446</v>
      </c>
      <c r="AF25" s="65">
        <f>IF(J25=0," ",ROUND((U25/J25)*1000,0))</f>
        <v>1446</v>
      </c>
      <c r="AG25" s="65">
        <f>IF(K25=0," ",ROUND((V25/K25)*1000,0))</f>
        <v>1451</v>
      </c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</row>
    <row r="26" spans="1:67" x14ac:dyDescent="0.2">
      <c r="A26" s="73" t="s">
        <v>99</v>
      </c>
      <c r="B26" s="3">
        <v>2</v>
      </c>
      <c r="D26" s="1">
        <v>31117.916666666668</v>
      </c>
      <c r="E26" s="1">
        <v>29882.583333333332</v>
      </c>
      <c r="F26" s="1">
        <v>28478.833333333332</v>
      </c>
      <c r="G26" s="1">
        <v>28242.833333333332</v>
      </c>
      <c r="H26" s="1">
        <v>28183.916666666668</v>
      </c>
      <c r="I26" s="1">
        <v>28181.666666666668</v>
      </c>
      <c r="J26" s="1">
        <v>28181.333333333332</v>
      </c>
      <c r="K26" s="65">
        <v>27417</v>
      </c>
      <c r="M26" s="73" t="s">
        <v>99</v>
      </c>
      <c r="N26" s="3">
        <v>2</v>
      </c>
      <c r="O26" s="1">
        <v>41445.589</v>
      </c>
      <c r="P26" s="1">
        <v>38785.207000000002</v>
      </c>
      <c r="Q26" s="1">
        <v>36849.553999999996</v>
      </c>
      <c r="R26" s="1">
        <v>36418.976999999999</v>
      </c>
      <c r="S26" s="1">
        <v>36293.894</v>
      </c>
      <c r="T26" s="1">
        <v>36276.952000000005</v>
      </c>
      <c r="U26" s="1">
        <v>36281.122000000003</v>
      </c>
      <c r="V26" s="65">
        <v>35373</v>
      </c>
      <c r="X26" s="73" t="s">
        <v>99</v>
      </c>
      <c r="Y26" s="3">
        <v>2</v>
      </c>
      <c r="Z26" s="65">
        <f t="shared" si="11"/>
        <v>1332</v>
      </c>
      <c r="AA26" s="65">
        <f t="shared" si="11"/>
        <v>1298</v>
      </c>
      <c r="AB26" s="65">
        <f t="shared" si="12"/>
        <v>1294</v>
      </c>
      <c r="AC26" s="65">
        <f t="shared" si="12"/>
        <v>1289</v>
      </c>
      <c r="AD26" s="65">
        <f t="shared" si="12"/>
        <v>1288</v>
      </c>
      <c r="AE26" s="65">
        <f t="shared" ref="AE26:AG28" si="13">IF(I26=0," ",ROUND((T26/I26)*1000,0))</f>
        <v>1287</v>
      </c>
      <c r="AF26" s="65">
        <f t="shared" si="13"/>
        <v>1287</v>
      </c>
      <c r="AG26" s="65">
        <f t="shared" si="13"/>
        <v>1290</v>
      </c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</row>
    <row r="27" spans="1:67" x14ac:dyDescent="0.2">
      <c r="A27" s="73" t="s">
        <v>99</v>
      </c>
      <c r="B27" s="3">
        <v>3</v>
      </c>
      <c r="D27" s="1">
        <v>26497.416666666668</v>
      </c>
      <c r="E27" s="1">
        <v>25158.666666666668</v>
      </c>
      <c r="F27" s="1">
        <v>24395.083333333332</v>
      </c>
      <c r="G27" s="1">
        <v>24090.416666666668</v>
      </c>
      <c r="H27" s="1">
        <v>24019.333333333332</v>
      </c>
      <c r="I27" s="1">
        <v>24022.583333333332</v>
      </c>
      <c r="J27" s="1">
        <v>24022</v>
      </c>
      <c r="K27" s="65">
        <v>23240</v>
      </c>
      <c r="M27" s="73" t="s">
        <v>99</v>
      </c>
      <c r="N27" s="3">
        <v>3</v>
      </c>
      <c r="O27" s="1">
        <v>34659.729000000007</v>
      </c>
      <c r="P27" s="1">
        <v>32521.544999999998</v>
      </c>
      <c r="Q27" s="1">
        <v>31343.303999999996</v>
      </c>
      <c r="R27" s="1">
        <v>30902.259000000002</v>
      </c>
      <c r="S27" s="1">
        <v>30789.167999999998</v>
      </c>
      <c r="T27" s="1">
        <v>30792</v>
      </c>
      <c r="U27" s="1">
        <v>30788</v>
      </c>
      <c r="V27" s="65">
        <v>29839</v>
      </c>
      <c r="X27" s="73" t="s">
        <v>99</v>
      </c>
      <c r="Y27" s="3">
        <v>3</v>
      </c>
      <c r="Z27" s="65">
        <f t="shared" si="11"/>
        <v>1308</v>
      </c>
      <c r="AA27" s="65">
        <f t="shared" si="11"/>
        <v>1293</v>
      </c>
      <c r="AB27" s="65">
        <f t="shared" si="12"/>
        <v>1285</v>
      </c>
      <c r="AC27" s="65">
        <f t="shared" si="12"/>
        <v>1283</v>
      </c>
      <c r="AD27" s="65">
        <f t="shared" si="12"/>
        <v>1282</v>
      </c>
      <c r="AE27" s="65">
        <f t="shared" si="13"/>
        <v>1282</v>
      </c>
      <c r="AF27" s="65">
        <f>IF(J27=0," ",ROUND((U27/J27)*1000,0))</f>
        <v>1282</v>
      </c>
      <c r="AG27" s="65">
        <f>IF(K27=0," ",ROUND((V27/K27)*1000,0))</f>
        <v>1284</v>
      </c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</row>
    <row r="28" spans="1:67" x14ac:dyDescent="0.2">
      <c r="A28" s="73" t="s">
        <v>99</v>
      </c>
      <c r="B28" s="3">
        <v>4</v>
      </c>
      <c r="D28" s="1">
        <v>22963.166666666668</v>
      </c>
      <c r="E28" s="1">
        <v>22029.75</v>
      </c>
      <c r="F28" s="1">
        <v>21378.333333333332</v>
      </c>
      <c r="G28" s="1">
        <v>21038</v>
      </c>
      <c r="H28" s="1">
        <v>20971.583333333332</v>
      </c>
      <c r="I28" s="1">
        <v>20966</v>
      </c>
      <c r="J28" s="1">
        <v>20307</v>
      </c>
      <c r="K28" s="65">
        <v>20309</v>
      </c>
      <c r="M28" s="73" t="s">
        <v>99</v>
      </c>
      <c r="N28" s="3">
        <v>4</v>
      </c>
      <c r="O28" s="1">
        <v>30066.239000000001</v>
      </c>
      <c r="P28" s="1">
        <v>28458.284000000003</v>
      </c>
      <c r="Q28" s="1">
        <v>27456.785000000003</v>
      </c>
      <c r="R28" s="1">
        <v>26979.978999999999</v>
      </c>
      <c r="S28" s="1">
        <v>26883.055</v>
      </c>
      <c r="T28" s="1">
        <v>26874</v>
      </c>
      <c r="U28" s="1">
        <v>26061</v>
      </c>
      <c r="V28" s="65">
        <v>26055</v>
      </c>
      <c r="X28" s="73" t="s">
        <v>99</v>
      </c>
      <c r="Y28" s="3">
        <v>4</v>
      </c>
      <c r="Z28" s="65">
        <f t="shared" si="11"/>
        <v>1309</v>
      </c>
      <c r="AA28" s="65">
        <f t="shared" si="11"/>
        <v>1292</v>
      </c>
      <c r="AB28" s="65">
        <f t="shared" si="12"/>
        <v>1284</v>
      </c>
      <c r="AC28" s="65">
        <f t="shared" si="12"/>
        <v>1282</v>
      </c>
      <c r="AD28" s="65">
        <f>IF(H28=0," ",ROUND((S28/H28)*1000,0))</f>
        <v>1282</v>
      </c>
      <c r="AE28" s="65">
        <f t="shared" si="13"/>
        <v>1282</v>
      </c>
      <c r="AF28" s="65">
        <f t="shared" si="13"/>
        <v>1283</v>
      </c>
      <c r="AG28" s="65">
        <f t="shared" si="13"/>
        <v>1283</v>
      </c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</row>
    <row r="29" spans="1:67" x14ac:dyDescent="0.2">
      <c r="A29" s="73" t="s">
        <v>99</v>
      </c>
      <c r="D29" s="1">
        <f>D25</f>
        <v>47050.916666666664</v>
      </c>
      <c r="E29" s="1">
        <f>E25+D26</f>
        <v>77028.666666666672</v>
      </c>
      <c r="F29" s="1">
        <f>F25+E26+D27</f>
        <v>99948.5</v>
      </c>
      <c r="G29" s="1">
        <f>D28+E27+F26+G25</f>
        <v>119532.91666666667</v>
      </c>
      <c r="H29" s="1">
        <f>E28+F27+G26+H25</f>
        <v>117492.08333333331</v>
      </c>
      <c r="I29" s="1">
        <f>F28+G27+H26+I25</f>
        <v>116470.83333333334</v>
      </c>
      <c r="J29" s="1">
        <f>G28+H27+I26+J25</f>
        <v>116054.83333333334</v>
      </c>
      <c r="K29" s="65">
        <f>SUM(K25:K28)</f>
        <v>113100</v>
      </c>
      <c r="M29" s="73" t="s">
        <v>99</v>
      </c>
      <c r="O29" s="1">
        <f>O25</f>
        <v>69661.017999999996</v>
      </c>
      <c r="P29" s="1">
        <f>P25+O26</f>
        <v>108741.78600000002</v>
      </c>
      <c r="Q29" s="1">
        <f>Q25+P26+O27</f>
        <v>136821.56900000002</v>
      </c>
      <c r="R29" s="1">
        <f>R25+Q26+P27+O28</f>
        <v>161620.03099999999</v>
      </c>
      <c r="S29" s="1">
        <f>S25+R26+Q27+P28</f>
        <v>158179.73700000002</v>
      </c>
      <c r="T29" s="1">
        <f>T25+S26+R27+Q28</f>
        <v>156587.34700000001</v>
      </c>
      <c r="U29" s="1">
        <f>U25+T26+S27+R28</f>
        <v>155970.63099999999</v>
      </c>
      <c r="V29" s="65">
        <f>SUM(V25:V28)</f>
        <v>152393</v>
      </c>
      <c r="X29" s="73" t="s">
        <v>99</v>
      </c>
      <c r="Z29" s="65">
        <f t="shared" si="11"/>
        <v>1481</v>
      </c>
      <c r="AA29" s="65">
        <f t="shared" si="11"/>
        <v>1412</v>
      </c>
      <c r="AB29" s="65">
        <f>IF(F29=0," ",ROUND((Q29/F29)*1000,0))</f>
        <v>1369</v>
      </c>
      <c r="AC29" s="65">
        <f>IF(G29=0," ",ROUND((R29/G29)*1000,0))</f>
        <v>1352</v>
      </c>
      <c r="AD29" s="65">
        <f>IF(H29=0," ",ROUND((S29/H29)*1000,0))</f>
        <v>1346</v>
      </c>
      <c r="AE29" s="65">
        <f>IF(I29=0," ",ROUND((T29/I29)*1000,0))</f>
        <v>1344</v>
      </c>
      <c r="AF29" s="65">
        <f>IF(J29=0," ",ROUND((U29/J29)*1000,0))</f>
        <v>1344</v>
      </c>
      <c r="AG29" s="65">
        <f>IF(K29=0," ",ROUND((V29/K29)*1000,0))</f>
        <v>1347</v>
      </c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</row>
    <row r="30" spans="1:67" x14ac:dyDescent="0.2">
      <c r="A30" s="73"/>
      <c r="D30" s="85"/>
      <c r="E30" s="1"/>
      <c r="F30" s="1"/>
      <c r="G30" s="1"/>
      <c r="H30" s="1"/>
      <c r="I30" s="1"/>
      <c r="J30" s="1"/>
      <c r="K30" s="65"/>
      <c r="M30" s="73"/>
      <c r="O30" s="89"/>
      <c r="P30" s="1"/>
      <c r="Q30" s="1"/>
      <c r="R30" s="1"/>
      <c r="S30" s="1"/>
      <c r="T30" s="1"/>
      <c r="V30" s="65"/>
      <c r="X30" s="73"/>
      <c r="Z30" s="88"/>
      <c r="AA30" s="65"/>
      <c r="AB30" s="65"/>
      <c r="AC30" s="65"/>
      <c r="AD30" s="65"/>
      <c r="AE30" s="65"/>
      <c r="AG30" s="65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</row>
    <row r="31" spans="1:67" x14ac:dyDescent="0.2">
      <c r="A31" s="73" t="s">
        <v>102</v>
      </c>
      <c r="B31" s="3">
        <v>1</v>
      </c>
      <c r="D31" s="1">
        <v>26511.333333333332</v>
      </c>
      <c r="E31" s="1">
        <v>25665.333333333332</v>
      </c>
      <c r="F31" s="1">
        <v>24582.583333333332</v>
      </c>
      <c r="G31" s="1">
        <v>24179.166666666668</v>
      </c>
      <c r="H31" s="1">
        <v>24090</v>
      </c>
      <c r="I31" s="1">
        <v>23214</v>
      </c>
      <c r="J31" s="1">
        <v>23209</v>
      </c>
      <c r="K31" s="65">
        <v>23202</v>
      </c>
      <c r="M31" s="73" t="s">
        <v>102</v>
      </c>
      <c r="N31" s="3">
        <v>1</v>
      </c>
      <c r="O31" s="1">
        <v>33654.326999999997</v>
      </c>
      <c r="P31" s="1">
        <v>31908.248</v>
      </c>
      <c r="Q31" s="1">
        <v>30482.146000000001</v>
      </c>
      <c r="R31" s="1">
        <v>29951.884999999995</v>
      </c>
      <c r="S31" s="1">
        <v>29823</v>
      </c>
      <c r="T31" s="1">
        <v>28822</v>
      </c>
      <c r="U31" s="1">
        <v>28806</v>
      </c>
      <c r="V31" s="65">
        <v>28797</v>
      </c>
      <c r="X31" s="73" t="s">
        <v>102</v>
      </c>
      <c r="Y31" s="3">
        <v>1</v>
      </c>
      <c r="Z31" s="65">
        <f t="shared" ref="Z31:AF31" si="14">IF(D31=0," ",ROUND((O31/D31)*1000,0))</f>
        <v>1269</v>
      </c>
      <c r="AA31" s="65">
        <f t="shared" si="14"/>
        <v>1243</v>
      </c>
      <c r="AB31" s="65">
        <f t="shared" si="14"/>
        <v>1240</v>
      </c>
      <c r="AC31" s="65">
        <f t="shared" si="14"/>
        <v>1239</v>
      </c>
      <c r="AD31" s="65">
        <f t="shared" si="14"/>
        <v>1238</v>
      </c>
      <c r="AE31" s="65">
        <f t="shared" si="14"/>
        <v>1242</v>
      </c>
      <c r="AF31" s="65">
        <f t="shared" si="14"/>
        <v>1241</v>
      </c>
      <c r="AG31" s="65">
        <f>IF(K31=0," ",ROUND((V31/K31)*1000,0))</f>
        <v>1241</v>
      </c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</row>
    <row r="32" spans="1:67" x14ac:dyDescent="0.2">
      <c r="A32" s="73" t="s">
        <v>102</v>
      </c>
      <c r="B32" s="3">
        <v>2</v>
      </c>
      <c r="D32" s="1">
        <v>0</v>
      </c>
      <c r="E32" s="1">
        <v>0</v>
      </c>
      <c r="F32" s="1">
        <v>0</v>
      </c>
      <c r="G32" s="1"/>
      <c r="H32" s="1"/>
      <c r="I32" s="1"/>
      <c r="K32" s="65">
        <f>ROUND(F32*F74,0)</f>
        <v>0</v>
      </c>
      <c r="M32" s="73" t="s">
        <v>102</v>
      </c>
      <c r="N32" s="3">
        <v>2</v>
      </c>
      <c r="O32" s="1">
        <v>0</v>
      </c>
      <c r="P32" s="1">
        <v>0</v>
      </c>
      <c r="Q32" s="1">
        <v>0</v>
      </c>
      <c r="R32" s="1"/>
      <c r="S32" s="1"/>
      <c r="T32" s="1"/>
      <c r="V32" s="65">
        <f>ROUND((K32*AG32)/1000,0)</f>
        <v>0</v>
      </c>
      <c r="X32" s="73" t="s">
        <v>102</v>
      </c>
      <c r="Y32" s="3">
        <v>2</v>
      </c>
      <c r="Z32" s="1">
        <v>0</v>
      </c>
      <c r="AA32" s="1">
        <v>0</v>
      </c>
      <c r="AB32" s="1">
        <v>0</v>
      </c>
      <c r="AC32" s="65" t="str">
        <f>IF(G32=0," ",ROUND((R32/G32)*1000,0))</f>
        <v xml:space="preserve"> </v>
      </c>
      <c r="AD32" s="65" t="str">
        <f>IF(H32=0," ",ROUND((S32/H32)*1000,0))</f>
        <v xml:space="preserve"> </v>
      </c>
      <c r="AE32" s="65"/>
      <c r="AG32" s="65">
        <f>ROUND(AB32*AB74,0)</f>
        <v>0</v>
      </c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</row>
    <row r="33" spans="1:67" x14ac:dyDescent="0.2">
      <c r="A33" s="73" t="s">
        <v>102</v>
      </c>
      <c r="B33" s="3">
        <v>3</v>
      </c>
      <c r="D33" s="1">
        <v>0</v>
      </c>
      <c r="E33" s="1">
        <v>0</v>
      </c>
      <c r="F33" s="1"/>
      <c r="G33" s="1"/>
      <c r="H33" s="1"/>
      <c r="I33" s="1"/>
      <c r="K33" s="65">
        <f>ROUND(E33*E74,0)</f>
        <v>0</v>
      </c>
      <c r="M33" s="73" t="s">
        <v>102</v>
      </c>
      <c r="N33" s="3">
        <v>3</v>
      </c>
      <c r="O33" s="1">
        <v>0</v>
      </c>
      <c r="P33" s="1">
        <v>0</v>
      </c>
      <c r="Q33" s="1"/>
      <c r="R33" s="1"/>
      <c r="S33" s="1"/>
      <c r="T33" s="1"/>
      <c r="V33" s="65">
        <f>ROUND((K33*AG33)/1000,0)</f>
        <v>0</v>
      </c>
      <c r="X33" s="73" t="s">
        <v>102</v>
      </c>
      <c r="Y33" s="3">
        <v>3</v>
      </c>
      <c r="Z33" s="1">
        <v>0</v>
      </c>
      <c r="AA33" s="1">
        <v>0</v>
      </c>
      <c r="AB33" s="65" t="str">
        <f>IF(F33=0," ",ROUND((Q33/F33)*1000,0))</f>
        <v xml:space="preserve"> </v>
      </c>
      <c r="AC33" s="65" t="str">
        <f>IF(G33=0," ",ROUND((R33/G33)*1000,0))</f>
        <v xml:space="preserve"> </v>
      </c>
      <c r="AD33" s="65"/>
      <c r="AE33" s="65"/>
      <c r="AG33" s="65">
        <f>ROUND(AA33*AA74,0)</f>
        <v>0</v>
      </c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</row>
    <row r="34" spans="1:67" x14ac:dyDescent="0.2">
      <c r="A34" s="73" t="s">
        <v>102</v>
      </c>
      <c r="B34" s="3">
        <v>4</v>
      </c>
      <c r="D34" s="1">
        <v>0</v>
      </c>
      <c r="E34" s="1"/>
      <c r="F34" s="1"/>
      <c r="G34" s="1"/>
      <c r="H34" s="1"/>
      <c r="I34" s="1"/>
      <c r="K34" s="65">
        <f>ROUND(D34*D74,0)</f>
        <v>0</v>
      </c>
      <c r="M34" s="73" t="s">
        <v>102</v>
      </c>
      <c r="N34" s="3">
        <v>4</v>
      </c>
      <c r="O34" s="1">
        <v>0</v>
      </c>
      <c r="P34" s="1"/>
      <c r="Q34" s="1"/>
      <c r="R34" s="1"/>
      <c r="S34" s="1"/>
      <c r="T34" s="1"/>
      <c r="V34" s="65">
        <f>ROUND((K34*AG34)/1000,0)</f>
        <v>0</v>
      </c>
      <c r="X34" s="73" t="s">
        <v>102</v>
      </c>
      <c r="Y34" s="3">
        <v>4</v>
      </c>
      <c r="Z34" s="1">
        <v>0</v>
      </c>
      <c r="AA34" s="65" t="str">
        <f t="shared" ref="Z34:AB35" si="15">IF(E34=0," ",ROUND((P34/E34)*1000,0))</f>
        <v xml:space="preserve"> </v>
      </c>
      <c r="AB34" s="65" t="str">
        <f t="shared" si="15"/>
        <v xml:space="preserve"> </v>
      </c>
      <c r="AC34" s="65"/>
      <c r="AD34" s="65"/>
      <c r="AE34" s="65"/>
      <c r="AG34" s="65">
        <f>ROUND(Z34*Z74,0)</f>
        <v>0</v>
      </c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</row>
    <row r="35" spans="1:67" x14ac:dyDescent="0.2">
      <c r="A35" s="73" t="s">
        <v>102</v>
      </c>
      <c r="D35" s="1">
        <f>D31</f>
        <v>26511.333333333332</v>
      </c>
      <c r="E35" s="1">
        <f>E31+D32</f>
        <v>25665.333333333332</v>
      </c>
      <c r="F35" s="1">
        <f>F31+E32+D33</f>
        <v>24582.583333333332</v>
      </c>
      <c r="G35" s="1">
        <f>D34+E33+F32+G31</f>
        <v>24179.166666666668</v>
      </c>
      <c r="H35" s="1">
        <f>E34+F33+G32+H31</f>
        <v>24090</v>
      </c>
      <c r="I35" s="1">
        <f>F34+G33+H32+I31</f>
        <v>23214</v>
      </c>
      <c r="J35" s="1">
        <f>G34+H33+I32+J31</f>
        <v>23209</v>
      </c>
      <c r="K35" s="65">
        <f>SUM(K31:K34)</f>
        <v>23202</v>
      </c>
      <c r="M35" s="73" t="s">
        <v>102</v>
      </c>
      <c r="O35" s="1">
        <f>O31</f>
        <v>33654.326999999997</v>
      </c>
      <c r="P35" s="1">
        <f>P31+O32</f>
        <v>31908.248</v>
      </c>
      <c r="Q35" s="1">
        <f>Q31+P32+O33</f>
        <v>30482.146000000001</v>
      </c>
      <c r="R35" s="1">
        <f>R31+Q32+P33+O34</f>
        <v>29951.884999999995</v>
      </c>
      <c r="S35" s="1">
        <f>S31+R32+Q33+P34</f>
        <v>29823</v>
      </c>
      <c r="T35" s="1">
        <f>T31+S32+R33+Q34</f>
        <v>28822</v>
      </c>
      <c r="U35" s="1">
        <f>U31+T32+S33+R34</f>
        <v>28806</v>
      </c>
      <c r="V35" s="65">
        <f>SUM(V31:V34)</f>
        <v>28797</v>
      </c>
      <c r="X35" s="73" t="s">
        <v>102</v>
      </c>
      <c r="Z35" s="65">
        <f t="shared" si="15"/>
        <v>1269</v>
      </c>
      <c r="AA35" s="65">
        <f t="shared" si="15"/>
        <v>1243</v>
      </c>
      <c r="AB35" s="65">
        <f t="shared" si="15"/>
        <v>1240</v>
      </c>
      <c r="AC35" s="65">
        <f>IF(G35=0," ",ROUND((R35/G35)*1000,5))</f>
        <v>1238.7476099999999</v>
      </c>
      <c r="AD35" s="65">
        <f>IF(H35=0," ",ROUND((S35/H35)*1000,5))</f>
        <v>1237.9825699999999</v>
      </c>
      <c r="AE35" s="65">
        <f>IF(I35=0," ",ROUND((T35/I35)*1000,0))</f>
        <v>1242</v>
      </c>
      <c r="AF35" s="65">
        <f>IF(J35=0," ",ROUND((U35/J35)*1000,0))</f>
        <v>1241</v>
      </c>
      <c r="AG35" s="65">
        <f>IF(K35=0," ",ROUND((V35/K35)*1000,0))</f>
        <v>1241</v>
      </c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</row>
    <row r="36" spans="1:67" x14ac:dyDescent="0.2">
      <c r="A36" s="73"/>
      <c r="D36" s="85"/>
      <c r="E36" s="1"/>
      <c r="F36" s="1"/>
      <c r="G36" s="1"/>
      <c r="H36" s="1"/>
      <c r="I36" s="1"/>
      <c r="J36" s="1"/>
      <c r="K36" s="65"/>
      <c r="M36" s="73"/>
      <c r="O36" s="89"/>
      <c r="P36" s="1"/>
      <c r="Q36" s="1"/>
      <c r="R36" s="1"/>
      <c r="S36" s="1"/>
      <c r="T36" s="86"/>
      <c r="V36" s="65"/>
      <c r="X36" s="73"/>
      <c r="Z36" s="88"/>
      <c r="AA36" s="65"/>
      <c r="AB36" s="65"/>
      <c r="AC36" s="65"/>
      <c r="AG36" s="65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</row>
    <row r="37" spans="1:67" x14ac:dyDescent="0.2">
      <c r="T37" s="1"/>
      <c r="U37" s="1"/>
      <c r="V37" s="65"/>
      <c r="Z37" s="72"/>
      <c r="AG37" s="65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</row>
    <row r="38" spans="1:67" x14ac:dyDescent="0.2">
      <c r="A38" s="28" t="s">
        <v>72</v>
      </c>
      <c r="B38" s="29"/>
      <c r="C38" s="29"/>
      <c r="D38" s="29"/>
      <c r="E38" s="29"/>
      <c r="F38" s="29"/>
      <c r="G38" s="10"/>
      <c r="H38" s="29"/>
      <c r="I38" s="29"/>
      <c r="J38" s="30" t="str">
        <f>J1</f>
        <v xml:space="preserve">DOCKET #:  </v>
      </c>
      <c r="K38" s="11" t="str">
        <f>K1</f>
        <v>LR 25.07</v>
      </c>
      <c r="M38" s="28"/>
      <c r="N38" s="29"/>
      <c r="T38" s="1"/>
      <c r="U38" s="1"/>
      <c r="V38" s="65"/>
      <c r="X38" s="28"/>
      <c r="Y38" s="29"/>
      <c r="Z38" s="28"/>
      <c r="AA38" s="29"/>
      <c r="AB38" s="29"/>
      <c r="AC38" s="10"/>
      <c r="AD38" s="29"/>
      <c r="AE38" s="29"/>
      <c r="AF38" s="30" t="str">
        <f>AF1</f>
        <v xml:space="preserve">DOCKET #:  </v>
      </c>
      <c r="AG38" s="11" t="str">
        <f>AG1</f>
        <v>LR 25.07</v>
      </c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</row>
    <row r="39" spans="1:67" x14ac:dyDescent="0.2">
      <c r="A39" s="28" t="s">
        <v>73</v>
      </c>
      <c r="B39" s="29"/>
      <c r="C39" s="29"/>
      <c r="D39" s="29"/>
      <c r="E39" s="29"/>
      <c r="F39" s="29"/>
      <c r="G39" s="10"/>
      <c r="H39" s="29"/>
      <c r="I39" s="29"/>
      <c r="J39" s="30" t="str">
        <f>J2</f>
        <v xml:space="preserve">EXHIBIT #:  </v>
      </c>
      <c r="K39" s="74">
        <f>K2</f>
        <v>3</v>
      </c>
      <c r="M39" s="28"/>
      <c r="N39" s="29"/>
      <c r="T39" s="1"/>
      <c r="U39" s="1"/>
      <c r="V39" s="65"/>
      <c r="X39" s="28"/>
      <c r="Y39" s="29"/>
      <c r="Z39" s="28"/>
      <c r="AA39" s="29"/>
      <c r="AB39" s="10"/>
      <c r="AC39" s="29"/>
      <c r="AD39" s="29"/>
      <c r="AE39" s="29"/>
      <c r="AF39" s="30" t="str">
        <f>AF2</f>
        <v xml:space="preserve">EXHIBIT #:  </v>
      </c>
      <c r="AG39" s="78">
        <f>AG2</f>
        <v>3</v>
      </c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</row>
    <row r="40" spans="1:67" x14ac:dyDescent="0.2">
      <c r="A40" s="28" t="s">
        <v>74</v>
      </c>
      <c r="B40" s="28"/>
      <c r="C40" s="29"/>
      <c r="D40" s="29"/>
      <c r="E40" s="29"/>
      <c r="F40" s="29"/>
      <c r="G40" s="10"/>
      <c r="H40" s="29"/>
      <c r="I40" s="29"/>
      <c r="J40" s="30" t="str">
        <f>J3</f>
        <v xml:space="preserve">PAGE:  </v>
      </c>
      <c r="K40" s="6" t="s">
        <v>81</v>
      </c>
      <c r="L40" s="3"/>
      <c r="M40" s="28"/>
      <c r="N40" s="28"/>
      <c r="T40" s="1"/>
      <c r="U40" s="1"/>
      <c r="V40" s="65"/>
      <c r="X40" s="28"/>
      <c r="Y40" s="28"/>
      <c r="Z40" s="28" t="s">
        <v>54</v>
      </c>
      <c r="AA40" s="29"/>
      <c r="AB40" s="29"/>
      <c r="AC40" s="10"/>
      <c r="AD40" s="29"/>
      <c r="AE40" s="29"/>
      <c r="AF40" s="30" t="str">
        <f>AF3</f>
        <v xml:space="preserve">PAGE:  </v>
      </c>
      <c r="AG40" s="6" t="s">
        <v>79</v>
      </c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</row>
    <row r="41" spans="1:67" x14ac:dyDescent="0.2">
      <c r="A41" s="32" t="s">
        <v>50</v>
      </c>
      <c r="M41" s="32"/>
      <c r="O41" s="33"/>
      <c r="T41" s="1"/>
      <c r="U41" s="1"/>
      <c r="V41" s="65"/>
      <c r="X41" s="32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</row>
    <row r="42" spans="1:67" x14ac:dyDescent="0.2">
      <c r="A42" s="33" t="s">
        <v>51</v>
      </c>
      <c r="B42" s="33" t="s">
        <v>52</v>
      </c>
      <c r="C42" s="34"/>
      <c r="D42" s="33" t="s">
        <v>55</v>
      </c>
      <c r="E42" s="33" t="s">
        <v>56</v>
      </c>
      <c r="F42" s="33" t="s">
        <v>24</v>
      </c>
      <c r="G42" s="33" t="s">
        <v>25</v>
      </c>
      <c r="H42" s="33" t="s">
        <v>26</v>
      </c>
      <c r="I42" s="33" t="s">
        <v>27</v>
      </c>
      <c r="J42" s="33" t="s">
        <v>57</v>
      </c>
      <c r="L42" s="34"/>
      <c r="M42" s="33"/>
      <c r="O42" s="3"/>
      <c r="T42" s="1"/>
      <c r="U42" s="1"/>
      <c r="V42" s="65"/>
      <c r="W42" s="34"/>
      <c r="X42" s="33" t="s">
        <v>51</v>
      </c>
      <c r="Y42" s="33" t="s">
        <v>52</v>
      </c>
      <c r="Z42" s="33" t="s">
        <v>55</v>
      </c>
      <c r="AA42" s="33" t="s">
        <v>56</v>
      </c>
      <c r="AB42" s="33" t="s">
        <v>24</v>
      </c>
      <c r="AC42" s="33" t="s">
        <v>25</v>
      </c>
      <c r="AD42" s="33" t="s">
        <v>26</v>
      </c>
      <c r="AE42" s="33" t="s">
        <v>27</v>
      </c>
      <c r="AF42" s="33" t="s">
        <v>57</v>
      </c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</row>
    <row r="43" spans="1:67" x14ac:dyDescent="0.2">
      <c r="A43" s="73"/>
      <c r="B43" s="3"/>
      <c r="D43" s="67"/>
      <c r="E43" s="67"/>
      <c r="F43" s="67"/>
      <c r="T43" s="1"/>
      <c r="U43" s="1"/>
      <c r="V43" s="65"/>
      <c r="X43" s="73"/>
      <c r="Y43" s="3"/>
    </row>
    <row r="44" spans="1:67" x14ac:dyDescent="0.2">
      <c r="A44" s="73" t="s">
        <v>87</v>
      </c>
      <c r="B44" s="3">
        <v>1</v>
      </c>
      <c r="D44" s="67">
        <f t="shared" ref="D44:J47" si="16">ROUND(E7/D7,4)</f>
        <v>1.0596000000000001</v>
      </c>
      <c r="E44" s="67">
        <f t="shared" si="16"/>
        <v>0.95069999999999999</v>
      </c>
      <c r="F44" s="67">
        <f t="shared" si="16"/>
        <v>0.98209999999999997</v>
      </c>
      <c r="G44" s="67">
        <f t="shared" si="16"/>
        <v>0.99550000000000005</v>
      </c>
      <c r="H44" s="67">
        <f t="shared" si="16"/>
        <v>0.99929999999999997</v>
      </c>
      <c r="I44" s="67">
        <f t="shared" si="16"/>
        <v>1</v>
      </c>
      <c r="J44" s="67">
        <f t="shared" si="16"/>
        <v>0.99990000000000001</v>
      </c>
      <c r="M44" s="73"/>
      <c r="N44" s="3"/>
      <c r="T44" s="1"/>
      <c r="U44" s="1"/>
      <c r="V44" s="65"/>
      <c r="X44" s="73" t="s">
        <v>87</v>
      </c>
      <c r="Y44" s="3">
        <v>1</v>
      </c>
      <c r="Z44" s="36">
        <f t="shared" ref="Z44:AF47" si="17">ROUND(AA7/Z7,4)</f>
        <v>0.99439999999999995</v>
      </c>
      <c r="AA44" s="36">
        <f t="shared" si="17"/>
        <v>0.99439999999999995</v>
      </c>
      <c r="AB44" s="36">
        <f t="shared" si="17"/>
        <v>0.99690000000000001</v>
      </c>
      <c r="AC44" s="36">
        <f t="shared" si="17"/>
        <v>0.99939999999999996</v>
      </c>
      <c r="AD44" s="36">
        <f t="shared" si="17"/>
        <v>0.99939999999999996</v>
      </c>
      <c r="AE44" s="36">
        <f t="shared" si="17"/>
        <v>1</v>
      </c>
      <c r="AF44" s="36">
        <f t="shared" si="17"/>
        <v>0.99939999999999996</v>
      </c>
    </row>
    <row r="45" spans="1:67" x14ac:dyDescent="0.2">
      <c r="A45" s="73" t="s">
        <v>87</v>
      </c>
      <c r="B45" s="3">
        <v>2</v>
      </c>
      <c r="D45" s="67">
        <f t="shared" si="16"/>
        <v>0.97130000000000005</v>
      </c>
      <c r="E45" s="67">
        <f t="shared" si="16"/>
        <v>0.94689999999999996</v>
      </c>
      <c r="F45" s="67">
        <f t="shared" si="16"/>
        <v>0.98160000000000003</v>
      </c>
      <c r="G45" s="67">
        <f t="shared" si="16"/>
        <v>0.99670000000000003</v>
      </c>
      <c r="H45" s="67">
        <f t="shared" si="16"/>
        <v>0.99990000000000001</v>
      </c>
      <c r="I45" s="67">
        <f t="shared" si="16"/>
        <v>0.99990000000000001</v>
      </c>
      <c r="J45" s="67">
        <f t="shared" si="16"/>
        <v>0.99990000000000001</v>
      </c>
      <c r="M45" s="73"/>
      <c r="N45" s="3"/>
      <c r="T45" s="1"/>
      <c r="U45" s="1"/>
      <c r="V45" s="65"/>
      <c r="X45" s="73" t="s">
        <v>87</v>
      </c>
      <c r="Y45" s="3">
        <v>2</v>
      </c>
      <c r="Z45" s="36">
        <f t="shared" si="17"/>
        <v>0.98199999999999998</v>
      </c>
      <c r="AA45" s="36">
        <f t="shared" si="17"/>
        <v>0.99819999999999998</v>
      </c>
      <c r="AB45" s="36">
        <f t="shared" si="17"/>
        <v>0.99880000000000002</v>
      </c>
      <c r="AC45" s="36">
        <f t="shared" si="17"/>
        <v>0.99939999999999996</v>
      </c>
      <c r="AD45" s="36">
        <f t="shared" si="17"/>
        <v>1</v>
      </c>
      <c r="AE45" s="36">
        <f t="shared" si="17"/>
        <v>0.99939999999999996</v>
      </c>
      <c r="AF45" s="36">
        <f t="shared" si="17"/>
        <v>0.99939999999999996</v>
      </c>
    </row>
    <row r="46" spans="1:67" x14ac:dyDescent="0.2">
      <c r="A46" s="73" t="s">
        <v>87</v>
      </c>
      <c r="B46" s="3">
        <v>3</v>
      </c>
      <c r="D46" s="67">
        <f t="shared" si="16"/>
        <v>0.97</v>
      </c>
      <c r="E46" s="67">
        <f t="shared" si="16"/>
        <v>0.95199999999999996</v>
      </c>
      <c r="F46" s="67">
        <f t="shared" si="16"/>
        <v>0.98719999999999997</v>
      </c>
      <c r="G46" s="67">
        <f t="shared" si="16"/>
        <v>0.99719999999999998</v>
      </c>
      <c r="H46" s="67">
        <f t="shared" si="16"/>
        <v>0.99970000000000003</v>
      </c>
      <c r="I46" s="67">
        <f t="shared" si="16"/>
        <v>1.0002</v>
      </c>
      <c r="J46" s="67">
        <f t="shared" si="16"/>
        <v>0.99890000000000001</v>
      </c>
      <c r="M46" s="73"/>
      <c r="N46" s="3"/>
      <c r="T46" s="1"/>
      <c r="U46" s="1"/>
      <c r="V46" s="65"/>
      <c r="X46" s="73" t="s">
        <v>87</v>
      </c>
      <c r="Y46" s="3">
        <v>3</v>
      </c>
      <c r="Z46" s="36">
        <f t="shared" si="17"/>
        <v>0.98429999999999995</v>
      </c>
      <c r="AA46" s="36">
        <f t="shared" si="17"/>
        <v>0.99760000000000004</v>
      </c>
      <c r="AB46" s="36">
        <f t="shared" si="17"/>
        <v>0.99819999999999998</v>
      </c>
      <c r="AC46" s="36">
        <f t="shared" si="17"/>
        <v>0.99939999999999996</v>
      </c>
      <c r="AD46" s="36">
        <f t="shared" si="17"/>
        <v>0.99939999999999996</v>
      </c>
      <c r="AE46" s="36">
        <f t="shared" si="17"/>
        <v>1</v>
      </c>
      <c r="AF46" s="36">
        <f>ROUND(AG9/AF9,4)</f>
        <v>0.99939999999999996</v>
      </c>
    </row>
    <row r="47" spans="1:67" x14ac:dyDescent="0.2">
      <c r="A47" s="73" t="s">
        <v>87</v>
      </c>
      <c r="B47" s="3">
        <v>4</v>
      </c>
      <c r="D47" s="67">
        <f>ROUND(E10/D10,4)</f>
        <v>0.97470000000000001</v>
      </c>
      <c r="E47" s="67">
        <f>ROUND(F10/E10,4)</f>
        <v>0.95779999999999998</v>
      </c>
      <c r="F47" s="67">
        <f>ROUND(G10/F10,4)</f>
        <v>0.997</v>
      </c>
      <c r="G47" s="67">
        <f>ROUND(H10/G10,4)</f>
        <v>0.99109999999999998</v>
      </c>
      <c r="H47" s="67">
        <f>ROUND(I10/H10,4)</f>
        <v>1.0006999999999999</v>
      </c>
      <c r="I47" s="67">
        <f t="shared" si="16"/>
        <v>0.99050000000000005</v>
      </c>
      <c r="J47" s="67">
        <f t="shared" si="16"/>
        <v>1.0026999999999999</v>
      </c>
      <c r="M47" s="73"/>
      <c r="N47" s="3"/>
      <c r="T47" s="1"/>
      <c r="U47" s="1"/>
      <c r="V47" s="65"/>
      <c r="X47" s="73" t="s">
        <v>87</v>
      </c>
      <c r="Y47" s="3">
        <v>4</v>
      </c>
      <c r="Z47" s="36">
        <f t="shared" si="17"/>
        <v>0.98450000000000004</v>
      </c>
      <c r="AA47" s="36">
        <f t="shared" si="17"/>
        <v>0.99770000000000003</v>
      </c>
      <c r="AB47" s="36">
        <f t="shared" si="17"/>
        <v>1</v>
      </c>
      <c r="AC47" s="36">
        <f t="shared" si="17"/>
        <v>0.99819999999999998</v>
      </c>
      <c r="AD47" s="36">
        <f t="shared" si="17"/>
        <v>1</v>
      </c>
      <c r="AE47" s="36">
        <f t="shared" si="17"/>
        <v>0.99819999999999998</v>
      </c>
      <c r="AF47" s="36">
        <f>ROUND(AG10/AF10,4)</f>
        <v>0.99939999999999996</v>
      </c>
    </row>
    <row r="48" spans="1:67" x14ac:dyDescent="0.2">
      <c r="A48" s="73"/>
      <c r="B48" s="3"/>
      <c r="D48" s="67"/>
      <c r="E48" s="67"/>
      <c r="F48" s="67"/>
      <c r="M48" s="73"/>
      <c r="N48" s="3"/>
      <c r="T48" s="1"/>
      <c r="U48" s="1"/>
      <c r="V48" s="65"/>
      <c r="X48" s="73"/>
      <c r="Y48" s="3"/>
      <c r="Z48" s="36"/>
      <c r="AA48" s="36"/>
    </row>
    <row r="49" spans="1:32" x14ac:dyDescent="0.2">
      <c r="A49" s="73" t="s">
        <v>95</v>
      </c>
      <c r="B49" s="3">
        <v>1</v>
      </c>
      <c r="D49" s="67">
        <f t="shared" ref="D49:J52" si="18">ROUND(E13/D13,4)</f>
        <v>1.3713</v>
      </c>
      <c r="E49" s="67">
        <f t="shared" si="18"/>
        <v>0.97840000000000005</v>
      </c>
      <c r="F49" s="67">
        <f t="shared" si="18"/>
        <v>0.96960000000000002</v>
      </c>
      <c r="G49" s="67">
        <f t="shared" si="18"/>
        <v>1</v>
      </c>
      <c r="H49" s="67">
        <f t="shared" si="18"/>
        <v>0.99670000000000003</v>
      </c>
      <c r="I49" s="67">
        <f t="shared" si="18"/>
        <v>1.0003</v>
      </c>
      <c r="J49" s="67">
        <f t="shared" si="18"/>
        <v>0.99970000000000003</v>
      </c>
      <c r="M49" s="73"/>
      <c r="N49" s="3"/>
      <c r="T49" s="1"/>
      <c r="U49" s="1"/>
      <c r="V49" s="65"/>
      <c r="X49" s="73" t="s">
        <v>95</v>
      </c>
      <c r="Y49" s="3">
        <v>1</v>
      </c>
      <c r="Z49" s="36">
        <f t="shared" ref="Z49:AF52" si="19">ROUND(AA13/Z13,4)</f>
        <v>0.9738</v>
      </c>
      <c r="AA49" s="36">
        <f t="shared" si="19"/>
        <v>0.99739999999999995</v>
      </c>
      <c r="AB49" s="36">
        <f t="shared" si="19"/>
        <v>0.99339999999999995</v>
      </c>
      <c r="AC49" s="36">
        <f t="shared" si="19"/>
        <v>1</v>
      </c>
      <c r="AD49" s="36">
        <f t="shared" si="19"/>
        <v>1.002</v>
      </c>
      <c r="AE49" s="36">
        <f t="shared" si="19"/>
        <v>1</v>
      </c>
      <c r="AF49" s="36">
        <f t="shared" si="19"/>
        <v>1</v>
      </c>
    </row>
    <row r="50" spans="1:32" x14ac:dyDescent="0.2">
      <c r="A50" s="73" t="s">
        <v>95</v>
      </c>
      <c r="B50" s="3">
        <v>2</v>
      </c>
      <c r="D50" s="67">
        <f t="shared" si="18"/>
        <v>1.0184</v>
      </c>
      <c r="E50" s="67">
        <f t="shared" si="18"/>
        <v>0.92490000000000006</v>
      </c>
      <c r="F50" s="67">
        <f t="shared" si="18"/>
        <v>1.0002</v>
      </c>
      <c r="G50" s="67">
        <f t="shared" si="18"/>
        <v>0.99109999999999998</v>
      </c>
      <c r="H50" s="67">
        <f t="shared" si="18"/>
        <v>0.99990000000000001</v>
      </c>
      <c r="I50" s="67">
        <f t="shared" si="18"/>
        <v>1</v>
      </c>
      <c r="J50" s="67">
        <f t="shared" si="18"/>
        <v>0.99970000000000003</v>
      </c>
      <c r="M50" s="73"/>
      <c r="N50" s="3"/>
      <c r="T50" s="1"/>
      <c r="U50" s="1"/>
      <c r="V50" s="65"/>
      <c r="X50" s="73" t="s">
        <v>95</v>
      </c>
      <c r="Y50" s="3">
        <v>2</v>
      </c>
      <c r="Z50" s="36">
        <f t="shared" si="19"/>
        <v>0.99099999999999999</v>
      </c>
      <c r="AA50" s="36">
        <f t="shared" si="19"/>
        <v>0.99019999999999997</v>
      </c>
      <c r="AB50" s="36">
        <f t="shared" si="19"/>
        <v>0.998</v>
      </c>
      <c r="AC50" s="36">
        <f t="shared" si="19"/>
        <v>1.002</v>
      </c>
      <c r="AD50" s="36">
        <f t="shared" si="19"/>
        <v>0.99929999999999997</v>
      </c>
      <c r="AE50" s="36">
        <f t="shared" si="19"/>
        <v>1</v>
      </c>
      <c r="AF50" s="36">
        <f t="shared" si="19"/>
        <v>1</v>
      </c>
    </row>
    <row r="51" spans="1:32" x14ac:dyDescent="0.2">
      <c r="A51" s="73" t="s">
        <v>95</v>
      </c>
      <c r="B51" s="3">
        <v>3</v>
      </c>
      <c r="D51" s="67">
        <f t="shared" si="18"/>
        <v>0.92079999999999995</v>
      </c>
      <c r="E51" s="67">
        <f t="shared" si="18"/>
        <v>0.96640000000000004</v>
      </c>
      <c r="F51" s="67">
        <f t="shared" si="18"/>
        <v>0.98180000000000001</v>
      </c>
      <c r="G51" s="67">
        <f t="shared" si="18"/>
        <v>0.99680000000000002</v>
      </c>
      <c r="H51" s="67">
        <f t="shared" si="18"/>
        <v>0.99970000000000003</v>
      </c>
      <c r="I51" s="67">
        <f t="shared" si="18"/>
        <v>0.99980000000000002</v>
      </c>
      <c r="J51" s="67">
        <f t="shared" si="18"/>
        <v>0.99990000000000001</v>
      </c>
      <c r="M51" s="73"/>
      <c r="N51" s="3"/>
      <c r="T51" s="1"/>
      <c r="U51" s="1"/>
      <c r="V51" s="65"/>
      <c r="X51" s="73" t="s">
        <v>95</v>
      </c>
      <c r="Y51" s="3">
        <v>3</v>
      </c>
      <c r="Z51" s="36">
        <f t="shared" si="19"/>
        <v>0.96860000000000002</v>
      </c>
      <c r="AA51" s="36">
        <f t="shared" si="19"/>
        <v>0.99609999999999999</v>
      </c>
      <c r="AB51" s="36">
        <f t="shared" si="19"/>
        <v>0.99929999999999997</v>
      </c>
      <c r="AC51" s="36">
        <f t="shared" si="19"/>
        <v>0.99870000000000003</v>
      </c>
      <c r="AD51" s="36">
        <f t="shared" si="19"/>
        <v>1</v>
      </c>
      <c r="AE51" s="36">
        <f t="shared" si="19"/>
        <v>1</v>
      </c>
      <c r="AF51" s="36">
        <f t="shared" si="19"/>
        <v>1</v>
      </c>
    </row>
    <row r="52" spans="1:32" x14ac:dyDescent="0.2">
      <c r="A52" s="73" t="s">
        <v>95</v>
      </c>
      <c r="B52" s="3">
        <v>4</v>
      </c>
      <c r="D52" s="67">
        <f>ROUND(E16/D16,4)</f>
        <v>0.98499999999999999</v>
      </c>
      <c r="E52" s="67">
        <f>ROUND(F16/E16,4)</f>
        <v>0.96209999999999996</v>
      </c>
      <c r="F52" s="67">
        <f>ROUND(G16/F16,4)</f>
        <v>0.98599999999999999</v>
      </c>
      <c r="G52" s="67">
        <f>ROUND(H16/G16,4)</f>
        <v>0.99660000000000004</v>
      </c>
      <c r="H52" s="67">
        <f>ROUND(I16/H16,4)</f>
        <v>0.99990000000000001</v>
      </c>
      <c r="I52" s="67">
        <f t="shared" si="18"/>
        <v>0.99990000000000001</v>
      </c>
      <c r="J52" s="67">
        <f t="shared" si="18"/>
        <v>0.99990000000000001</v>
      </c>
      <c r="M52" s="73"/>
      <c r="N52" s="3"/>
      <c r="T52" s="1"/>
      <c r="U52" s="1"/>
      <c r="V52" s="65"/>
      <c r="X52" s="73" t="s">
        <v>95</v>
      </c>
      <c r="Y52" s="3">
        <v>4</v>
      </c>
      <c r="Z52" s="36">
        <f>ROUND(AA16/Z16,4)</f>
        <v>0.98960000000000004</v>
      </c>
      <c r="AA52" s="36">
        <f>ROUND(AB16/AA16,4)</f>
        <v>0.99539999999999995</v>
      </c>
      <c r="AB52" s="36">
        <f>ROUND(AC16/AB16,4)</f>
        <v>0.99739999999999995</v>
      </c>
      <c r="AC52" s="36">
        <f>ROUND(AD16/AC16,4)</f>
        <v>1</v>
      </c>
      <c r="AD52" s="36">
        <f>ROUND(AE16/AD16,4)</f>
        <v>1</v>
      </c>
      <c r="AE52" s="36">
        <f t="shared" si="19"/>
        <v>1</v>
      </c>
      <c r="AF52" s="36">
        <f t="shared" si="19"/>
        <v>1</v>
      </c>
    </row>
    <row r="53" spans="1:32" x14ac:dyDescent="0.2">
      <c r="A53" s="73"/>
      <c r="B53" s="3"/>
      <c r="D53" s="67"/>
      <c r="E53" s="67"/>
      <c r="F53" s="67"/>
      <c r="M53" s="73"/>
      <c r="N53" s="3"/>
      <c r="T53" s="1"/>
      <c r="U53" s="1"/>
      <c r="V53" s="65"/>
      <c r="X53" s="73"/>
      <c r="Y53" s="3"/>
      <c r="Z53" s="36"/>
      <c r="AA53" s="36"/>
    </row>
    <row r="54" spans="1:32" x14ac:dyDescent="0.2">
      <c r="A54" s="73" t="s">
        <v>97</v>
      </c>
      <c r="B54" s="3">
        <v>1</v>
      </c>
      <c r="D54" s="67">
        <f t="shared" ref="D54:J60" si="20">ROUND(E19/D19,4)</f>
        <v>0.98609999999999998</v>
      </c>
      <c r="E54" s="67">
        <f t="shared" si="20"/>
        <v>0.94910000000000005</v>
      </c>
      <c r="F54" s="67">
        <f t="shared" si="20"/>
        <v>0.98560000000000003</v>
      </c>
      <c r="G54" s="67">
        <f t="shared" si="20"/>
        <v>0.99619999999999997</v>
      </c>
      <c r="H54" s="67">
        <f t="shared" si="20"/>
        <v>1</v>
      </c>
      <c r="I54" s="67">
        <f t="shared" si="20"/>
        <v>0.99990000000000001</v>
      </c>
      <c r="J54" s="67">
        <f>ROUND(K19/J19,4)</f>
        <v>0.99170000000000003</v>
      </c>
      <c r="M54" s="73"/>
      <c r="N54" s="3"/>
      <c r="T54" s="1"/>
      <c r="U54" s="1"/>
      <c r="V54" s="65"/>
      <c r="X54" s="73" t="s">
        <v>97</v>
      </c>
      <c r="Y54" s="3">
        <v>1</v>
      </c>
      <c r="Z54" s="36">
        <f t="shared" ref="Z54:AF57" si="21">ROUND(AA19/Z19,4)</f>
        <v>0.98899999999999999</v>
      </c>
      <c r="AA54" s="36">
        <f t="shared" si="21"/>
        <v>0.99280000000000002</v>
      </c>
      <c r="AB54" s="36">
        <f t="shared" si="21"/>
        <v>0.99739999999999995</v>
      </c>
      <c r="AC54" s="36">
        <f t="shared" si="21"/>
        <v>1</v>
      </c>
      <c r="AD54" s="36">
        <f t="shared" si="21"/>
        <v>1</v>
      </c>
      <c r="AE54" s="36">
        <f t="shared" si="21"/>
        <v>1</v>
      </c>
      <c r="AF54" s="36">
        <f t="shared" si="21"/>
        <v>1.0013000000000001</v>
      </c>
    </row>
    <row r="55" spans="1:32" x14ac:dyDescent="0.2">
      <c r="A55" s="73" t="s">
        <v>97</v>
      </c>
      <c r="B55" s="3">
        <v>2</v>
      </c>
      <c r="D55" s="67">
        <f t="shared" si="20"/>
        <v>0.99339999999999995</v>
      </c>
      <c r="E55" s="67">
        <f t="shared" si="20"/>
        <v>0.95269999999999999</v>
      </c>
      <c r="F55" s="67">
        <f t="shared" si="20"/>
        <v>0.98529999999999995</v>
      </c>
      <c r="G55" s="67">
        <f t="shared" si="20"/>
        <v>0.99760000000000004</v>
      </c>
      <c r="H55" s="67">
        <f t="shared" si="20"/>
        <v>1.0002</v>
      </c>
      <c r="I55" s="67">
        <f t="shared" si="20"/>
        <v>1.0001</v>
      </c>
      <c r="J55" s="67">
        <f>ROUND(K20/J20,4)</f>
        <v>0.98319999999999996</v>
      </c>
      <c r="M55" s="73"/>
      <c r="N55" s="3"/>
      <c r="T55" s="1"/>
      <c r="U55" s="1"/>
      <c r="V55" s="65"/>
      <c r="X55" s="73" t="s">
        <v>97</v>
      </c>
      <c r="Y55" s="3">
        <v>2</v>
      </c>
      <c r="Z55" s="36">
        <f t="shared" si="21"/>
        <v>0.98760000000000003</v>
      </c>
      <c r="AA55" s="36">
        <f t="shared" si="21"/>
        <v>0.99719999999999998</v>
      </c>
      <c r="AB55" s="36">
        <f t="shared" si="21"/>
        <v>0.99790000000000001</v>
      </c>
      <c r="AC55" s="36">
        <f t="shared" si="21"/>
        <v>1</v>
      </c>
      <c r="AD55" s="36">
        <f t="shared" si="21"/>
        <v>0.99929999999999997</v>
      </c>
      <c r="AE55" s="36">
        <f t="shared" si="21"/>
        <v>1</v>
      </c>
      <c r="AF55" s="36">
        <f t="shared" si="21"/>
        <v>1.0027999999999999</v>
      </c>
    </row>
    <row r="56" spans="1:32" x14ac:dyDescent="0.2">
      <c r="A56" s="73" t="s">
        <v>97</v>
      </c>
      <c r="B56" s="3">
        <v>3</v>
      </c>
      <c r="D56" s="67">
        <f t="shared" si="20"/>
        <v>0.97989999999999999</v>
      </c>
      <c r="E56" s="67">
        <f t="shared" si="20"/>
        <v>0.96099999999999997</v>
      </c>
      <c r="F56" s="67">
        <f t="shared" si="20"/>
        <v>0.99229999999999996</v>
      </c>
      <c r="G56" s="67">
        <f t="shared" si="20"/>
        <v>0.99639999999999995</v>
      </c>
      <c r="H56" s="67">
        <f t="shared" si="20"/>
        <v>1</v>
      </c>
      <c r="I56" s="67">
        <f t="shared" si="20"/>
        <v>1</v>
      </c>
      <c r="J56" s="67">
        <f t="shared" si="20"/>
        <v>0.98270000000000002</v>
      </c>
      <c r="M56" s="73"/>
      <c r="N56" s="3"/>
      <c r="T56" s="1"/>
      <c r="U56" s="1"/>
      <c r="V56" s="65"/>
      <c r="X56" s="73" t="s">
        <v>97</v>
      </c>
      <c r="Y56" s="3">
        <v>3</v>
      </c>
      <c r="Z56" s="36">
        <f t="shared" si="21"/>
        <v>0.99119999999999997</v>
      </c>
      <c r="AA56" s="36">
        <f t="shared" si="21"/>
        <v>0.99660000000000004</v>
      </c>
      <c r="AB56" s="36">
        <f t="shared" si="21"/>
        <v>0.998</v>
      </c>
      <c r="AC56" s="36">
        <f t="shared" si="21"/>
        <v>0.99929999999999997</v>
      </c>
      <c r="AD56" s="36">
        <f t="shared" si="21"/>
        <v>1</v>
      </c>
      <c r="AE56" s="36">
        <f t="shared" si="21"/>
        <v>0.99929999999999997</v>
      </c>
      <c r="AF56" s="36">
        <f t="shared" si="21"/>
        <v>1.0034000000000001</v>
      </c>
    </row>
    <row r="57" spans="1:32" x14ac:dyDescent="0.2">
      <c r="A57" s="73" t="s">
        <v>97</v>
      </c>
      <c r="B57" s="3">
        <v>4</v>
      </c>
      <c r="D57" s="67">
        <f t="shared" si="20"/>
        <v>0.97789999999999999</v>
      </c>
      <c r="E57" s="67">
        <f t="shared" si="20"/>
        <v>0.96389999999999998</v>
      </c>
      <c r="F57" s="67">
        <f t="shared" si="20"/>
        <v>0.98470000000000002</v>
      </c>
      <c r="G57" s="67">
        <f t="shared" si="20"/>
        <v>0.99650000000000005</v>
      </c>
      <c r="H57" s="67">
        <f t="shared" si="20"/>
        <v>1</v>
      </c>
      <c r="I57" s="67">
        <f t="shared" si="20"/>
        <v>0.99990000000000001</v>
      </c>
      <c r="J57" s="67">
        <f t="shared" si="20"/>
        <v>0.98229999999999995</v>
      </c>
      <c r="M57" s="73"/>
      <c r="N57" s="3"/>
      <c r="T57" s="1"/>
      <c r="U57" s="1"/>
      <c r="V57" s="65"/>
      <c r="X57" s="73" t="s">
        <v>97</v>
      </c>
      <c r="Y57" s="3">
        <v>4</v>
      </c>
      <c r="Z57" s="36">
        <f t="shared" si="21"/>
        <v>0.99060000000000004</v>
      </c>
      <c r="AA57" s="36">
        <f t="shared" si="21"/>
        <v>0.99460000000000004</v>
      </c>
      <c r="AB57" s="36">
        <f t="shared" si="21"/>
        <v>0.99660000000000004</v>
      </c>
      <c r="AC57" s="36">
        <f t="shared" si="21"/>
        <v>0.99929999999999997</v>
      </c>
      <c r="AD57" s="36">
        <f t="shared" si="21"/>
        <v>1</v>
      </c>
      <c r="AE57" s="36">
        <f t="shared" si="21"/>
        <v>1</v>
      </c>
      <c r="AF57" s="36">
        <f t="shared" si="21"/>
        <v>1.002</v>
      </c>
    </row>
    <row r="58" spans="1:32" x14ac:dyDescent="0.2">
      <c r="A58" s="73"/>
      <c r="B58" s="3"/>
      <c r="D58" s="67"/>
      <c r="E58" s="67"/>
      <c r="F58" s="67"/>
      <c r="M58" s="73"/>
      <c r="N58" s="3"/>
      <c r="T58" s="1"/>
      <c r="U58" s="1"/>
      <c r="V58" s="65"/>
      <c r="X58" s="73"/>
      <c r="Y58" s="3"/>
      <c r="Z58" s="36"/>
      <c r="AA58" s="36"/>
    </row>
    <row r="59" spans="1:32" x14ac:dyDescent="0.2">
      <c r="A59" s="73" t="s">
        <v>99</v>
      </c>
      <c r="B59" s="3">
        <v>1</v>
      </c>
      <c r="D59" s="67">
        <f t="shared" ref="D59:J60" si="22">ROUND(E25/D25,4)</f>
        <v>0.9758</v>
      </c>
      <c r="E59" s="67">
        <f t="shared" si="22"/>
        <v>0.94899999999999995</v>
      </c>
      <c r="F59" s="67">
        <f t="shared" si="22"/>
        <v>0.98540000000000005</v>
      </c>
      <c r="G59" s="67">
        <f t="shared" si="22"/>
        <v>0.99750000000000005</v>
      </c>
      <c r="H59" s="67">
        <f t="shared" si="22"/>
        <v>0.99990000000000001</v>
      </c>
      <c r="I59" s="67">
        <f t="shared" si="22"/>
        <v>0.99990000000000001</v>
      </c>
      <c r="J59" s="67">
        <f t="shared" si="22"/>
        <v>0.98409999999999997</v>
      </c>
      <c r="M59" s="73"/>
      <c r="N59" s="3"/>
      <c r="T59" s="1"/>
      <c r="U59" s="1"/>
      <c r="V59" s="65"/>
      <c r="X59" s="73" t="s">
        <v>99</v>
      </c>
      <c r="Y59" s="3">
        <v>1</v>
      </c>
      <c r="Z59" s="36">
        <f t="shared" ref="Z59:AF62" si="23">ROUND(AA25/Z25,4)</f>
        <v>0.9899</v>
      </c>
      <c r="AA59" s="36">
        <f t="shared" si="23"/>
        <v>0.99250000000000005</v>
      </c>
      <c r="AB59" s="36">
        <f t="shared" si="23"/>
        <v>0.99519999999999997</v>
      </c>
      <c r="AC59" s="36">
        <f t="shared" si="23"/>
        <v>0.99929999999999997</v>
      </c>
      <c r="AD59" s="36">
        <f t="shared" si="23"/>
        <v>0.99929999999999997</v>
      </c>
      <c r="AE59" s="36">
        <f t="shared" si="23"/>
        <v>1</v>
      </c>
      <c r="AF59" s="36">
        <f t="shared" si="23"/>
        <v>1.0035000000000001</v>
      </c>
    </row>
    <row r="60" spans="1:32" x14ac:dyDescent="0.2">
      <c r="A60" s="73" t="s">
        <v>99</v>
      </c>
      <c r="B60" s="3">
        <v>2</v>
      </c>
      <c r="D60" s="67">
        <f t="shared" si="22"/>
        <v>0.96030000000000004</v>
      </c>
      <c r="E60" s="67">
        <f t="shared" si="22"/>
        <v>0.95299999999999996</v>
      </c>
      <c r="F60" s="67">
        <f t="shared" si="22"/>
        <v>0.99170000000000003</v>
      </c>
      <c r="G60" s="67">
        <f t="shared" si="22"/>
        <v>0.99790000000000001</v>
      </c>
      <c r="H60" s="67">
        <f t="shared" si="22"/>
        <v>0.99990000000000001</v>
      </c>
      <c r="I60" s="67">
        <f t="shared" si="22"/>
        <v>1</v>
      </c>
      <c r="J60" s="67">
        <f t="shared" si="20"/>
        <v>0.98409999999999997</v>
      </c>
      <c r="M60" s="73"/>
      <c r="N60" s="3"/>
      <c r="T60" s="1"/>
      <c r="U60" s="1"/>
      <c r="V60" s="65"/>
      <c r="X60" s="73" t="s">
        <v>99</v>
      </c>
      <c r="Y60" s="3">
        <v>2</v>
      </c>
      <c r="Z60" s="36">
        <f t="shared" si="23"/>
        <v>0.97450000000000003</v>
      </c>
      <c r="AA60" s="36">
        <f t="shared" si="23"/>
        <v>0.99690000000000001</v>
      </c>
      <c r="AB60" s="36">
        <f t="shared" si="23"/>
        <v>0.99609999999999999</v>
      </c>
      <c r="AC60" s="36">
        <f t="shared" si="23"/>
        <v>0.99919999999999998</v>
      </c>
      <c r="AD60" s="36">
        <f t="shared" si="23"/>
        <v>0.99919999999999998</v>
      </c>
      <c r="AE60" s="36">
        <f t="shared" si="23"/>
        <v>1</v>
      </c>
      <c r="AF60" s="36">
        <f t="shared" si="23"/>
        <v>1.0023</v>
      </c>
    </row>
    <row r="61" spans="1:32" x14ac:dyDescent="0.2">
      <c r="A61" s="73" t="s">
        <v>99</v>
      </c>
      <c r="B61" s="3">
        <v>3</v>
      </c>
      <c r="D61" s="67">
        <f t="shared" ref="D61:J62" si="24">ROUND(E27/D27,4)</f>
        <v>0.94950000000000001</v>
      </c>
      <c r="E61" s="67">
        <f t="shared" si="24"/>
        <v>0.96960000000000002</v>
      </c>
      <c r="F61" s="67">
        <f t="shared" si="24"/>
        <v>0.98750000000000004</v>
      </c>
      <c r="G61" s="67">
        <f t="shared" si="24"/>
        <v>0.997</v>
      </c>
      <c r="H61" s="67">
        <f t="shared" si="24"/>
        <v>1.0001</v>
      </c>
      <c r="I61" s="67">
        <f t="shared" si="24"/>
        <v>1</v>
      </c>
      <c r="J61" s="67">
        <f t="shared" si="24"/>
        <v>0.96740000000000004</v>
      </c>
      <c r="M61" s="73"/>
      <c r="N61" s="3"/>
      <c r="T61" s="1"/>
      <c r="U61" s="1"/>
      <c r="V61" s="65"/>
      <c r="X61" s="73" t="s">
        <v>99</v>
      </c>
      <c r="Y61" s="3">
        <v>3</v>
      </c>
      <c r="Z61" s="36">
        <f t="shared" ref="Z61:AD62" si="25">ROUND(AA27/Z27,4)</f>
        <v>0.98850000000000005</v>
      </c>
      <c r="AA61" s="36">
        <f t="shared" si="25"/>
        <v>0.99380000000000002</v>
      </c>
      <c r="AB61" s="36">
        <f t="shared" si="25"/>
        <v>0.99839999999999995</v>
      </c>
      <c r="AC61" s="36">
        <f t="shared" si="25"/>
        <v>0.99919999999999998</v>
      </c>
      <c r="AD61" s="36">
        <f t="shared" si="25"/>
        <v>1</v>
      </c>
      <c r="AE61" s="36">
        <f t="shared" si="23"/>
        <v>1</v>
      </c>
      <c r="AF61" s="36">
        <f t="shared" si="23"/>
        <v>1.0016</v>
      </c>
    </row>
    <row r="62" spans="1:32" x14ac:dyDescent="0.2">
      <c r="A62" s="73" t="s">
        <v>99</v>
      </c>
      <c r="B62" s="3">
        <v>4</v>
      </c>
      <c r="D62" s="67">
        <f t="shared" ref="D62:I62" si="26">ROUND(E28/D28,4)</f>
        <v>0.95940000000000003</v>
      </c>
      <c r="E62" s="67">
        <f t="shared" si="26"/>
        <v>0.97040000000000004</v>
      </c>
      <c r="F62" s="67">
        <f t="shared" si="26"/>
        <v>0.98409999999999997</v>
      </c>
      <c r="G62" s="67">
        <f t="shared" si="26"/>
        <v>0.99680000000000002</v>
      </c>
      <c r="H62" s="67">
        <f t="shared" si="26"/>
        <v>0.99970000000000003</v>
      </c>
      <c r="I62" s="67">
        <f t="shared" si="26"/>
        <v>0.96860000000000002</v>
      </c>
      <c r="J62" s="67">
        <f t="shared" si="24"/>
        <v>1.0001</v>
      </c>
      <c r="M62" s="73"/>
      <c r="N62" s="3"/>
      <c r="T62" s="1"/>
      <c r="U62" s="1"/>
      <c r="V62" s="65"/>
      <c r="X62" s="73" t="s">
        <v>99</v>
      </c>
      <c r="Y62" s="3">
        <v>4</v>
      </c>
      <c r="Z62" s="36">
        <f t="shared" si="25"/>
        <v>0.98699999999999999</v>
      </c>
      <c r="AA62" s="36">
        <f t="shared" si="25"/>
        <v>0.99380000000000002</v>
      </c>
      <c r="AB62" s="36">
        <f t="shared" si="25"/>
        <v>0.99839999999999995</v>
      </c>
      <c r="AC62" s="36">
        <f t="shared" si="25"/>
        <v>1</v>
      </c>
      <c r="AD62" s="36">
        <f t="shared" si="25"/>
        <v>1</v>
      </c>
      <c r="AE62" s="36">
        <f t="shared" si="23"/>
        <v>1.0007999999999999</v>
      </c>
      <c r="AF62" s="36">
        <f t="shared" si="23"/>
        <v>1</v>
      </c>
    </row>
    <row r="63" spans="1:32" x14ac:dyDescent="0.2">
      <c r="A63" s="73"/>
      <c r="B63" s="3"/>
      <c r="D63" s="67"/>
      <c r="E63" s="67"/>
      <c r="F63" s="67"/>
      <c r="M63" s="73"/>
      <c r="N63" s="3"/>
      <c r="T63" s="1"/>
      <c r="U63" s="1"/>
      <c r="V63" s="65"/>
      <c r="X63" s="73"/>
      <c r="Y63" s="3"/>
      <c r="Z63" s="36"/>
      <c r="AA63" s="36"/>
    </row>
    <row r="64" spans="1:32" x14ac:dyDescent="0.2">
      <c r="A64" s="73" t="s">
        <v>102</v>
      </c>
      <c r="B64" s="3">
        <v>1</v>
      </c>
      <c r="D64" s="67">
        <f t="shared" ref="D64:J64" si="27">ROUND(E31/D31,4)</f>
        <v>0.96809999999999996</v>
      </c>
      <c r="E64" s="67">
        <f t="shared" si="27"/>
        <v>0.95779999999999998</v>
      </c>
      <c r="F64" s="67">
        <f t="shared" si="27"/>
        <v>0.98360000000000003</v>
      </c>
      <c r="G64" s="67">
        <f t="shared" si="27"/>
        <v>0.99629999999999996</v>
      </c>
      <c r="H64" s="67">
        <f t="shared" si="27"/>
        <v>0.96360000000000001</v>
      </c>
      <c r="I64" s="67">
        <f t="shared" si="27"/>
        <v>0.99980000000000002</v>
      </c>
      <c r="J64" s="67">
        <f t="shared" si="27"/>
        <v>0.99970000000000003</v>
      </c>
      <c r="M64" s="73"/>
      <c r="N64" s="3"/>
      <c r="T64" s="1"/>
      <c r="U64" s="1"/>
      <c r="V64" s="65"/>
      <c r="X64" s="73" t="s">
        <v>102</v>
      </c>
      <c r="Y64" s="3">
        <v>1</v>
      </c>
      <c r="Z64" s="36">
        <f t="shared" ref="Z64:AF64" si="28">ROUND(AA31/Z31,4)</f>
        <v>0.97950000000000004</v>
      </c>
      <c r="AA64" s="36">
        <f t="shared" si="28"/>
        <v>0.99760000000000004</v>
      </c>
      <c r="AB64" s="36">
        <f t="shared" si="28"/>
        <v>0.99919999999999998</v>
      </c>
      <c r="AC64" s="36">
        <f t="shared" si="28"/>
        <v>0.99919999999999998</v>
      </c>
      <c r="AD64" s="36">
        <f t="shared" si="28"/>
        <v>1.0032000000000001</v>
      </c>
      <c r="AE64" s="36">
        <f t="shared" si="28"/>
        <v>0.99919999999999998</v>
      </c>
      <c r="AF64" s="36">
        <f t="shared" si="28"/>
        <v>1</v>
      </c>
    </row>
    <row r="65" spans="1:32" x14ac:dyDescent="0.2">
      <c r="A65" s="73" t="s">
        <v>102</v>
      </c>
      <c r="B65" s="3">
        <v>2</v>
      </c>
      <c r="D65" s="67"/>
      <c r="E65" s="67"/>
      <c r="F65" s="67"/>
      <c r="G65" s="67"/>
      <c r="M65" s="73"/>
      <c r="N65" s="3"/>
      <c r="T65" s="1"/>
      <c r="U65" s="1"/>
      <c r="V65" s="65"/>
      <c r="X65" s="73" t="s">
        <v>102</v>
      </c>
      <c r="Y65" s="3">
        <v>2</v>
      </c>
      <c r="Z65" s="36"/>
      <c r="AA65" s="36"/>
      <c r="AB65" s="36"/>
      <c r="AC65" s="36"/>
      <c r="AD65" s="36"/>
    </row>
    <row r="66" spans="1:32" x14ac:dyDescent="0.2">
      <c r="A66" s="73" t="s">
        <v>102</v>
      </c>
      <c r="B66" s="3">
        <v>3</v>
      </c>
      <c r="D66" s="67"/>
      <c r="E66" s="67"/>
      <c r="F66" s="67"/>
      <c r="M66" s="73"/>
      <c r="N66" s="3"/>
      <c r="T66" s="1"/>
      <c r="U66" s="1"/>
      <c r="V66" s="65"/>
      <c r="X66" s="73" t="s">
        <v>102</v>
      </c>
      <c r="Y66" s="3">
        <v>3</v>
      </c>
      <c r="Z66" s="36"/>
      <c r="AA66" s="36"/>
      <c r="AB66" s="36"/>
    </row>
    <row r="67" spans="1:32" x14ac:dyDescent="0.2">
      <c r="A67" s="73" t="s">
        <v>102</v>
      </c>
      <c r="B67" s="3">
        <v>4</v>
      </c>
      <c r="D67" s="67"/>
      <c r="E67" s="67"/>
      <c r="F67" s="67"/>
      <c r="M67" s="73"/>
      <c r="N67" s="3"/>
      <c r="T67" s="1"/>
      <c r="U67" s="1"/>
      <c r="V67" s="65"/>
      <c r="X67" s="73" t="s">
        <v>102</v>
      </c>
      <c r="Y67" s="3">
        <v>4</v>
      </c>
      <c r="Z67" s="36"/>
      <c r="AA67" s="36"/>
    </row>
    <row r="68" spans="1:32" x14ac:dyDescent="0.2">
      <c r="A68" s="73"/>
      <c r="M68" s="73"/>
      <c r="N68" s="3"/>
      <c r="T68" s="1"/>
      <c r="U68" s="1"/>
      <c r="V68" s="65"/>
      <c r="X68" s="73"/>
      <c r="Z68" s="67"/>
      <c r="AA68" s="36"/>
    </row>
    <row r="69" spans="1:32" x14ac:dyDescent="0.2">
      <c r="A69" s="31" t="s">
        <v>58</v>
      </c>
      <c r="B69" s="3"/>
      <c r="D69" s="67">
        <f t="shared" ref="D69:I69" si="29">ROUND(AVERAGEA(D43:D67),4)</f>
        <v>1.0013000000000001</v>
      </c>
      <c r="E69" s="67">
        <f t="shared" si="29"/>
        <v>0.95679999999999998</v>
      </c>
      <c r="F69" s="67">
        <f t="shared" si="29"/>
        <v>0.98619999999999997</v>
      </c>
      <c r="G69" s="67">
        <f t="shared" si="29"/>
        <v>0.99629999999999996</v>
      </c>
      <c r="H69" s="67">
        <f t="shared" si="29"/>
        <v>0.99760000000000004</v>
      </c>
      <c r="I69" s="67">
        <f t="shared" si="29"/>
        <v>0.99760000000000004</v>
      </c>
      <c r="J69" s="67">
        <f>ROUND(AVERAGEA(J43:J67),4)</f>
        <v>0.99270000000000003</v>
      </c>
      <c r="M69" s="73"/>
      <c r="N69" s="3"/>
      <c r="T69" s="1"/>
      <c r="U69" s="1"/>
      <c r="V69" s="65"/>
      <c r="X69" s="31" t="s">
        <v>58</v>
      </c>
      <c r="Y69" s="3"/>
      <c r="Z69" s="36">
        <f t="shared" ref="Z69:AF69" si="30">ROUND(AVERAGEA(Z43:Z68),4)</f>
        <v>0.98509999999999998</v>
      </c>
      <c r="AA69" s="67">
        <f t="shared" si="30"/>
        <v>0.99550000000000005</v>
      </c>
      <c r="AB69" s="67">
        <f t="shared" si="30"/>
        <v>0.99760000000000004</v>
      </c>
      <c r="AC69" s="67">
        <f t="shared" si="30"/>
        <v>0.99960000000000004</v>
      </c>
      <c r="AD69" s="67">
        <f t="shared" si="30"/>
        <v>1.0001</v>
      </c>
      <c r="AE69" s="67">
        <f t="shared" si="30"/>
        <v>0.99980000000000002</v>
      </c>
      <c r="AF69" s="67">
        <f t="shared" si="30"/>
        <v>1.0008999999999999</v>
      </c>
    </row>
    <row r="70" spans="1:32" x14ac:dyDescent="0.2">
      <c r="A70" s="31" t="s">
        <v>59</v>
      </c>
      <c r="D70" s="36">
        <f>AVERAGE(D43:D47,D50:D67)</f>
        <v>0.97813749999999999</v>
      </c>
      <c r="E70" s="36">
        <f>E69</f>
        <v>0.95679999999999998</v>
      </c>
      <c r="F70" s="36">
        <f>F69</f>
        <v>0.98619999999999997</v>
      </c>
      <c r="G70" s="36">
        <f>G69</f>
        <v>0.99629999999999996</v>
      </c>
      <c r="H70" s="36">
        <f>AVERAGE(H60:H62)</f>
        <v>0.9998999999999999</v>
      </c>
      <c r="I70" s="36">
        <f>AVERAGE(I44:I61,I64)</f>
        <v>0.9993875000000001</v>
      </c>
      <c r="J70" s="36">
        <f>AVERAGE(J49:J52)</f>
        <v>0.99980000000000002</v>
      </c>
      <c r="M70" s="73"/>
      <c r="N70" s="3"/>
      <c r="T70" s="1"/>
      <c r="U70" s="1"/>
      <c r="V70" s="65"/>
      <c r="X70" s="31" t="s">
        <v>59</v>
      </c>
      <c r="Z70" s="36">
        <f>Z69</f>
        <v>0.98509999999999998</v>
      </c>
      <c r="AA70" s="36">
        <f>AA69</f>
        <v>0.99550000000000005</v>
      </c>
      <c r="AB70" s="36">
        <f>AB69</f>
        <v>0.99760000000000004</v>
      </c>
      <c r="AC70" s="36">
        <f>AC69</f>
        <v>0.99960000000000004</v>
      </c>
      <c r="AD70" s="36">
        <v>1</v>
      </c>
      <c r="AE70" s="36">
        <v>1</v>
      </c>
      <c r="AF70" s="67">
        <v>1</v>
      </c>
    </row>
    <row r="71" spans="1:32" x14ac:dyDescent="0.2">
      <c r="A71" s="73"/>
      <c r="D71" s="36"/>
      <c r="E71" s="36"/>
      <c r="F71" s="36"/>
      <c r="G71" s="36"/>
      <c r="H71" s="36"/>
      <c r="I71" s="36"/>
      <c r="J71" s="36"/>
      <c r="M71" s="73"/>
      <c r="N71" s="3"/>
      <c r="T71" s="1"/>
      <c r="U71" s="1"/>
      <c r="V71" s="65"/>
      <c r="X71" s="73"/>
      <c r="Z71" s="36"/>
      <c r="AA71" s="36"/>
      <c r="AB71" s="36"/>
      <c r="AC71" s="36"/>
      <c r="AD71" s="36"/>
      <c r="AE71" s="36"/>
      <c r="AF71" s="36"/>
    </row>
    <row r="72" spans="1:32" x14ac:dyDescent="0.2">
      <c r="A72" s="73"/>
      <c r="D72" s="141"/>
      <c r="E72" s="141"/>
      <c r="F72" s="141"/>
      <c r="G72" s="141"/>
      <c r="H72" s="141"/>
      <c r="I72" s="141"/>
      <c r="J72" s="141"/>
      <c r="M72" s="73"/>
      <c r="N72" s="3"/>
      <c r="T72" s="1"/>
      <c r="U72" s="1"/>
      <c r="V72" s="65"/>
      <c r="X72" s="73"/>
    </row>
    <row r="73" spans="1:32" x14ac:dyDescent="0.2">
      <c r="D73" s="27" t="s">
        <v>60</v>
      </c>
      <c r="E73" s="27" t="s">
        <v>61</v>
      </c>
      <c r="F73" s="27" t="s">
        <v>62</v>
      </c>
      <c r="G73" s="27" t="s">
        <v>63</v>
      </c>
      <c r="H73" s="27" t="s">
        <v>64</v>
      </c>
      <c r="I73" s="27" t="s">
        <v>65</v>
      </c>
      <c r="J73" s="27" t="s">
        <v>57</v>
      </c>
      <c r="M73" s="73"/>
      <c r="T73" s="1"/>
      <c r="U73" s="1"/>
      <c r="V73" s="65"/>
      <c r="Z73" s="27" t="s">
        <v>60</v>
      </c>
      <c r="AA73" s="27" t="s">
        <v>61</v>
      </c>
      <c r="AB73" s="27" t="s">
        <v>62</v>
      </c>
      <c r="AC73" s="27" t="s">
        <v>63</v>
      </c>
      <c r="AD73" s="27" t="s">
        <v>64</v>
      </c>
      <c r="AE73" s="27" t="s">
        <v>65</v>
      </c>
      <c r="AF73" s="27" t="s">
        <v>57</v>
      </c>
    </row>
    <row r="74" spans="1:32" x14ac:dyDescent="0.2">
      <c r="A74" s="31" t="s">
        <v>59</v>
      </c>
      <c r="D74" s="36">
        <f t="shared" ref="D74:I74" si="31">ROUND(D70*E74,4)</f>
        <v>0.91879999999999995</v>
      </c>
      <c r="E74" s="36">
        <f t="shared" si="31"/>
        <v>0.93930000000000002</v>
      </c>
      <c r="F74" s="36">
        <f t="shared" si="31"/>
        <v>0.98170000000000002</v>
      </c>
      <c r="G74" s="36">
        <f t="shared" si="31"/>
        <v>0.99539999999999995</v>
      </c>
      <c r="H74" s="36">
        <f t="shared" si="31"/>
        <v>0.99909999999999999</v>
      </c>
      <c r="I74" s="36">
        <f t="shared" si="31"/>
        <v>0.99919999999999998</v>
      </c>
      <c r="J74" s="36">
        <f>ROUND(J70,4)</f>
        <v>0.99980000000000002</v>
      </c>
      <c r="M74" s="32"/>
      <c r="N74" s="3"/>
      <c r="T74" s="1"/>
      <c r="U74" s="1"/>
      <c r="V74" s="65"/>
      <c r="X74" s="31" t="s">
        <v>59</v>
      </c>
      <c r="Z74" s="36">
        <f t="shared" ref="Z74:AE74" si="32">ROUND(Z70*AA74,4)</f>
        <v>0.97789999999999999</v>
      </c>
      <c r="AA74" s="36">
        <f t="shared" si="32"/>
        <v>0.99270000000000003</v>
      </c>
      <c r="AB74" s="36">
        <f t="shared" si="32"/>
        <v>0.99719999999999998</v>
      </c>
      <c r="AC74" s="36">
        <f t="shared" si="32"/>
        <v>0.99960000000000004</v>
      </c>
      <c r="AD74" s="36">
        <f t="shared" si="32"/>
        <v>1</v>
      </c>
      <c r="AE74" s="36">
        <f t="shared" si="32"/>
        <v>1</v>
      </c>
      <c r="AF74" s="36">
        <f>ROUND(AF70,4)</f>
        <v>1</v>
      </c>
    </row>
    <row r="75" spans="1:32" x14ac:dyDescent="0.2">
      <c r="M75" s="31"/>
      <c r="T75" s="1"/>
      <c r="U75" s="1"/>
      <c r="V75" s="65"/>
    </row>
    <row r="76" spans="1:32" x14ac:dyDescent="0.2">
      <c r="A76" s="3"/>
      <c r="M76" s="31"/>
      <c r="T76" s="1"/>
      <c r="U76" s="1"/>
      <c r="V76" s="65"/>
      <c r="X76" s="3"/>
    </row>
    <row r="77" spans="1:32" x14ac:dyDescent="0.2">
      <c r="T77" s="1"/>
      <c r="U77" s="1"/>
      <c r="V77" s="65"/>
    </row>
    <row r="78" spans="1:32" x14ac:dyDescent="0.2">
      <c r="T78" s="1"/>
      <c r="U78" s="1"/>
      <c r="V78" s="65"/>
    </row>
    <row r="79" spans="1:32" x14ac:dyDescent="0.2">
      <c r="M79" s="31"/>
      <c r="T79" s="1"/>
      <c r="U79" s="1"/>
      <c r="V79" s="65"/>
    </row>
  </sheetData>
  <mergeCells count="1">
    <mergeCell ref="D72:J72"/>
  </mergeCells>
  <phoneticPr fontId="0" type="noConversion"/>
  <printOptions horizontalCentered="1" gridLinesSet="0"/>
  <pageMargins left="0" right="0" top="0.5" bottom="1" header="0.25" footer="0.5"/>
  <pageSetup scale="91" orientation="landscape" horizontalDpi="300" verticalDpi="300" r:id="rId1"/>
  <headerFooter alignWithMargins="0">
    <oddFooter>&amp;R&amp;8&amp;D
n:\lrc\ind00\ultimate\&amp;F&amp;A</oddFooter>
  </headerFooter>
  <rowBreaks count="1" manualBreakCount="1">
    <brk id="36" max="32" man="1"/>
  </rowBreaks>
  <colBreaks count="2" manualBreakCount="2">
    <brk id="12" max="77" man="1"/>
    <brk id="23" max="7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 codeName="Sheet3">
    <pageSetUpPr fitToPage="1"/>
  </sheetPr>
  <dimension ref="A1:R58"/>
  <sheetViews>
    <sheetView showGridLines="0" view="pageBreakPreview" topLeftCell="A29" zoomScaleNormal="100" workbookViewId="0">
      <selection activeCell="H11" sqref="H11"/>
    </sheetView>
  </sheetViews>
  <sheetFormatPr defaultColWidth="8.625" defaultRowHeight="12.75" x14ac:dyDescent="0.2"/>
  <cols>
    <col min="1" max="1" width="9.875" style="40" customWidth="1"/>
    <col min="2" max="11" width="11.625" style="40" customWidth="1"/>
    <col min="12" max="13" width="8.625" style="40"/>
    <col min="14" max="14" width="13.25" style="40" customWidth="1"/>
    <col min="15" max="17" width="8.625" style="40"/>
    <col min="18" max="18" width="11.875" style="40" bestFit="1" customWidth="1"/>
    <col min="19" max="16384" width="8.625" style="40"/>
  </cols>
  <sheetData>
    <row r="1" spans="1:18" x14ac:dyDescent="0.2">
      <c r="A1" s="37" t="s">
        <v>68</v>
      </c>
      <c r="B1" s="38"/>
      <c r="C1" s="38"/>
      <c r="D1" s="38"/>
      <c r="E1" s="10"/>
      <c r="F1" s="38"/>
      <c r="G1" s="38"/>
      <c r="H1" s="38"/>
      <c r="I1" s="38"/>
      <c r="J1" s="39" t="str">
        <f>ULTPYPP!J1</f>
        <v xml:space="preserve">DOCKET #:  </v>
      </c>
      <c r="K1" s="11" t="str">
        <f>ULTIMATE!H1</f>
        <v>LR 25.07</v>
      </c>
    </row>
    <row r="2" spans="1:18" x14ac:dyDescent="0.2">
      <c r="A2" s="37" t="s">
        <v>69</v>
      </c>
      <c r="B2" s="38"/>
      <c r="C2" s="38"/>
      <c r="D2" s="38"/>
      <c r="E2" s="10"/>
      <c r="F2" s="38"/>
      <c r="G2" s="38"/>
      <c r="H2" s="38"/>
      <c r="I2" s="38"/>
      <c r="J2" s="39" t="str">
        <f>ULTPYPP!J2</f>
        <v xml:space="preserve">EXHIBIT #:  </v>
      </c>
      <c r="K2" s="79">
        <f>ULTIMATE!H2</f>
        <v>3</v>
      </c>
    </row>
    <row r="3" spans="1:18" x14ac:dyDescent="0.2">
      <c r="A3" s="37"/>
      <c r="B3" s="38"/>
      <c r="C3" s="38"/>
      <c r="D3" s="38"/>
      <c r="E3" s="10"/>
      <c r="F3" s="38"/>
      <c r="G3" s="38"/>
      <c r="H3" s="38"/>
      <c r="I3" s="38"/>
      <c r="J3" s="39" t="str">
        <f>ULTPYPP!J3</f>
        <v xml:space="preserve">PAGE:  </v>
      </c>
      <c r="K3" s="6" t="str">
        <f>IF('ind or final'!A1=1,"",'ind or final'!D8)</f>
        <v/>
      </c>
    </row>
    <row r="4" spans="1:18" x14ac:dyDescent="0.2">
      <c r="A4" s="37" t="s">
        <v>106</v>
      </c>
      <c r="B4" s="38"/>
      <c r="C4" s="38"/>
      <c r="D4" s="38"/>
      <c r="E4" s="10"/>
      <c r="F4" s="38"/>
      <c r="G4" s="38"/>
      <c r="H4" s="38"/>
      <c r="I4" s="38"/>
    </row>
    <row r="5" spans="1:18" x14ac:dyDescent="0.2">
      <c r="A5" s="41" t="s">
        <v>11</v>
      </c>
      <c r="E5" s="42"/>
    </row>
    <row r="6" spans="1:18" x14ac:dyDescent="0.2">
      <c r="A6" s="43" t="s">
        <v>12</v>
      </c>
      <c r="B6" s="43" t="s">
        <v>13</v>
      </c>
      <c r="C6" s="43" t="s">
        <v>14</v>
      </c>
      <c r="D6" s="43" t="s">
        <v>15</v>
      </c>
      <c r="E6" s="43" t="s">
        <v>16</v>
      </c>
      <c r="F6" s="43" t="s">
        <v>17</v>
      </c>
      <c r="G6" s="43" t="s">
        <v>18</v>
      </c>
      <c r="H6" s="43" t="s">
        <v>19</v>
      </c>
      <c r="I6" s="43" t="s">
        <v>20</v>
      </c>
      <c r="J6" s="43" t="s">
        <v>21</v>
      </c>
      <c r="K6" s="43" t="s">
        <v>22</v>
      </c>
    </row>
    <row r="7" spans="1:18" x14ac:dyDescent="0.2">
      <c r="A7" s="41"/>
      <c r="B7" s="44"/>
    </row>
    <row r="8" spans="1:18" x14ac:dyDescent="0.2">
      <c r="A8" s="84" t="s">
        <v>101</v>
      </c>
      <c r="B8" s="81">
        <v>83041</v>
      </c>
      <c r="C8" s="81">
        <v>105740</v>
      </c>
      <c r="D8" s="81">
        <v>104694</v>
      </c>
      <c r="E8" s="81">
        <v>103419</v>
      </c>
      <c r="F8" s="81">
        <v>103216</v>
      </c>
      <c r="G8" s="81">
        <v>103169</v>
      </c>
      <c r="H8" s="1">
        <v>103062</v>
      </c>
      <c r="I8" s="1">
        <v>103018</v>
      </c>
      <c r="J8" s="1">
        <v>103058</v>
      </c>
      <c r="K8" s="68">
        <v>124242</v>
      </c>
    </row>
    <row r="9" spans="1:18" x14ac:dyDescent="0.2">
      <c r="A9" s="84" t="s">
        <v>103</v>
      </c>
      <c r="B9" s="81">
        <v>73158</v>
      </c>
      <c r="C9" s="81">
        <v>92122</v>
      </c>
      <c r="D9" s="81">
        <v>93165</v>
      </c>
      <c r="E9" s="81">
        <v>92323</v>
      </c>
      <c r="F9" s="81">
        <v>91813</v>
      </c>
      <c r="G9" s="81">
        <v>91886</v>
      </c>
      <c r="H9" s="1">
        <v>91823</v>
      </c>
      <c r="I9" s="1">
        <v>91809</v>
      </c>
      <c r="J9" s="1">
        <v>91811</v>
      </c>
      <c r="K9" s="68">
        <v>103006</v>
      </c>
      <c r="L9"/>
    </row>
    <row r="10" spans="1:18" x14ac:dyDescent="0.2">
      <c r="A10" s="84" t="s">
        <v>105</v>
      </c>
      <c r="B10" s="81">
        <v>67793</v>
      </c>
      <c r="C10" s="81">
        <v>89920</v>
      </c>
      <c r="D10" s="81">
        <v>89755</v>
      </c>
      <c r="E10" s="81">
        <v>89191</v>
      </c>
      <c r="F10" s="81">
        <v>89051</v>
      </c>
      <c r="G10" s="81">
        <v>88948</v>
      </c>
      <c r="H10" s="1">
        <v>88946</v>
      </c>
      <c r="I10" s="1">
        <v>89044</v>
      </c>
      <c r="J10" s="81">
        <v>89044</v>
      </c>
      <c r="K10" s="68">
        <v>91820</v>
      </c>
      <c r="L10" s="93"/>
      <c r="P10">
        <v>23</v>
      </c>
      <c r="Q10">
        <v>1</v>
      </c>
      <c r="R10" s="138">
        <v>20658148</v>
      </c>
    </row>
    <row r="11" spans="1:18" x14ac:dyDescent="0.2">
      <c r="A11" s="84" t="s">
        <v>122</v>
      </c>
      <c r="B11" s="81">
        <v>71936</v>
      </c>
      <c r="C11" s="81">
        <v>97605</v>
      </c>
      <c r="D11" s="81">
        <v>95897</v>
      </c>
      <c r="E11" s="81">
        <v>95278</v>
      </c>
      <c r="F11" s="81">
        <v>95065</v>
      </c>
      <c r="G11" s="81">
        <v>94920</v>
      </c>
      <c r="H11" s="1">
        <v>94985</v>
      </c>
      <c r="I11" s="1">
        <v>94955</v>
      </c>
      <c r="J11" s="1">
        <v>94963</v>
      </c>
      <c r="K11" s="68">
        <v>88954</v>
      </c>
      <c r="L11" s="93"/>
      <c r="P11">
        <v>23</v>
      </c>
      <c r="Q11">
        <v>2</v>
      </c>
      <c r="R11" s="138">
        <v>12998639</v>
      </c>
    </row>
    <row r="12" spans="1:18" x14ac:dyDescent="0.2">
      <c r="A12" s="84" t="s">
        <v>127</v>
      </c>
      <c r="B12" s="81">
        <v>82019</v>
      </c>
      <c r="C12" s="81">
        <v>112439</v>
      </c>
      <c r="D12" s="81">
        <v>111316</v>
      </c>
      <c r="E12" s="81">
        <v>110970</v>
      </c>
      <c r="F12" s="81">
        <v>111128</v>
      </c>
      <c r="G12" s="81">
        <v>110935</v>
      </c>
      <c r="H12" s="1">
        <v>110570</v>
      </c>
      <c r="I12" s="1">
        <v>110579</v>
      </c>
      <c r="J12" s="1">
        <v>110598</v>
      </c>
      <c r="K12" s="68">
        <v>95070</v>
      </c>
      <c r="L12" s="93"/>
      <c r="P12">
        <v>23</v>
      </c>
      <c r="Q12">
        <v>3</v>
      </c>
      <c r="R12" s="138">
        <v>15109443</v>
      </c>
    </row>
    <row r="13" spans="1:18" x14ac:dyDescent="0.2">
      <c r="A13" s="84" t="s">
        <v>128</v>
      </c>
      <c r="B13" s="81">
        <v>93935</v>
      </c>
      <c r="C13" s="81">
        <v>130392</v>
      </c>
      <c r="D13" s="81">
        <v>128798</v>
      </c>
      <c r="E13" s="81">
        <v>128157</v>
      </c>
      <c r="F13" s="81">
        <v>128205</v>
      </c>
      <c r="G13" s="81">
        <v>128139</v>
      </c>
      <c r="H13" s="81">
        <v>127948</v>
      </c>
      <c r="I13" s="81">
        <v>127937</v>
      </c>
      <c r="J13" s="1">
        <v>127938</v>
      </c>
      <c r="K13" s="68">
        <v>127938</v>
      </c>
      <c r="L13" s="93"/>
      <c r="M13" s="125">
        <v>2020</v>
      </c>
      <c r="N13" s="125">
        <v>172644</v>
      </c>
      <c r="P13">
        <v>23</v>
      </c>
      <c r="Q13">
        <v>4</v>
      </c>
      <c r="R13" s="138">
        <v>16279858</v>
      </c>
    </row>
    <row r="14" spans="1:18" x14ac:dyDescent="0.2">
      <c r="A14" s="84" t="s">
        <v>129</v>
      </c>
      <c r="B14" s="104">
        <v>112831</v>
      </c>
      <c r="C14" s="104">
        <v>153835</v>
      </c>
      <c r="D14" s="104">
        <v>153231</v>
      </c>
      <c r="E14" s="104">
        <v>152074</v>
      </c>
      <c r="F14" s="104">
        <v>151635.80100000001</v>
      </c>
      <c r="G14" s="104">
        <v>151601</v>
      </c>
      <c r="H14" s="101">
        <v>151505.09</v>
      </c>
      <c r="I14" s="101">
        <v>151475.133</v>
      </c>
      <c r="J14" s="101">
        <v>151471.81299999999</v>
      </c>
      <c r="K14" s="68">
        <v>151439</v>
      </c>
      <c r="L14" s="93"/>
      <c r="M14" s="126">
        <v>2021</v>
      </c>
      <c r="N14" s="125">
        <v>183370</v>
      </c>
      <c r="P14">
        <v>23</v>
      </c>
      <c r="Q14">
        <v>5</v>
      </c>
      <c r="R14" s="138">
        <v>18327534</v>
      </c>
    </row>
    <row r="15" spans="1:18" ht="15" x14ac:dyDescent="0.25">
      <c r="A15" s="84" t="s">
        <v>130</v>
      </c>
      <c r="B15" s="104">
        <v>127229.36500000001</v>
      </c>
      <c r="C15" s="104">
        <v>173733</v>
      </c>
      <c r="D15" s="104">
        <v>171290</v>
      </c>
      <c r="E15" s="104">
        <v>170104.549</v>
      </c>
      <c r="F15" s="104">
        <v>169753.90400000001</v>
      </c>
      <c r="G15" s="104">
        <v>169237.99800000002</v>
      </c>
      <c r="H15" s="101">
        <v>169156.99800000002</v>
      </c>
      <c r="I15" s="101">
        <v>169147</v>
      </c>
      <c r="J15" s="101">
        <v>169140</v>
      </c>
      <c r="K15" s="68">
        <v>169141</v>
      </c>
      <c r="L15" s="93"/>
      <c r="M15" s="120">
        <v>2022</v>
      </c>
      <c r="N15" s="124">
        <v>186370</v>
      </c>
      <c r="P15">
        <v>23</v>
      </c>
      <c r="Q15">
        <v>6</v>
      </c>
      <c r="R15" s="138">
        <v>17615535</v>
      </c>
    </row>
    <row r="16" spans="1:18" ht="15" x14ac:dyDescent="0.25">
      <c r="A16" s="84" t="s">
        <v>131</v>
      </c>
      <c r="B16" s="104">
        <v>135211</v>
      </c>
      <c r="C16" s="104">
        <v>185192.84099999999</v>
      </c>
      <c r="D16" s="104">
        <v>184274.84099999999</v>
      </c>
      <c r="E16" s="104">
        <v>183227</v>
      </c>
      <c r="F16" s="104">
        <v>182783</v>
      </c>
      <c r="G16" s="104">
        <v>182684</v>
      </c>
      <c r="H16" s="101">
        <v>182641.12400000001</v>
      </c>
      <c r="I16" s="101">
        <v>182619.79700000002</v>
      </c>
      <c r="J16" s="104">
        <v>182602</v>
      </c>
      <c r="K16" s="68">
        <v>182591</v>
      </c>
      <c r="L16" s="93"/>
      <c r="M16" s="127">
        <v>2023</v>
      </c>
      <c r="N16" s="128">
        <v>208617</v>
      </c>
      <c r="P16">
        <v>23</v>
      </c>
      <c r="Q16">
        <v>7</v>
      </c>
      <c r="R16" s="138">
        <v>19921691</v>
      </c>
    </row>
    <row r="17" spans="1:18" ht="15" x14ac:dyDescent="0.25">
      <c r="A17" s="84" t="s">
        <v>133</v>
      </c>
      <c r="B17" s="104">
        <v>146154</v>
      </c>
      <c r="C17" s="104">
        <v>201885</v>
      </c>
      <c r="D17" s="104">
        <v>198720.18299999999</v>
      </c>
      <c r="E17" s="104">
        <v>197241.95599999998</v>
      </c>
      <c r="F17" s="104">
        <v>196213</v>
      </c>
      <c r="G17" s="104">
        <v>196072</v>
      </c>
      <c r="H17" s="104">
        <v>195995</v>
      </c>
      <c r="I17" s="101">
        <v>196012.32</v>
      </c>
      <c r="J17" s="101">
        <v>195965.989</v>
      </c>
      <c r="K17" s="68">
        <v>195957.989</v>
      </c>
      <c r="L17" s="93"/>
      <c r="M17" s="127">
        <v>2024</v>
      </c>
      <c r="N17" s="128">
        <v>186371</v>
      </c>
      <c r="P17">
        <v>23</v>
      </c>
      <c r="Q17">
        <v>8</v>
      </c>
      <c r="R17" s="138">
        <v>16834717</v>
      </c>
    </row>
    <row r="18" spans="1:18" ht="15" x14ac:dyDescent="0.25">
      <c r="A18" s="84" t="s">
        <v>134</v>
      </c>
      <c r="B18" s="104">
        <v>151608</v>
      </c>
      <c r="C18" s="104">
        <v>205166.416</v>
      </c>
      <c r="D18" s="104">
        <v>197995</v>
      </c>
      <c r="E18" s="104">
        <v>190613</v>
      </c>
      <c r="F18" s="104">
        <v>190074.47099999999</v>
      </c>
      <c r="G18" s="104">
        <v>190418.47099999999</v>
      </c>
      <c r="H18" s="101">
        <v>190321.47099999999</v>
      </c>
      <c r="I18" s="101">
        <v>190299.47099999999</v>
      </c>
      <c r="J18" s="1">
        <v>190296.97099999999</v>
      </c>
      <c r="K18" s="68">
        <v>190284</v>
      </c>
      <c r="L18" s="93"/>
      <c r="M18" s="121"/>
      <c r="N18" s="122"/>
      <c r="P18">
        <v>23</v>
      </c>
      <c r="Q18">
        <v>9</v>
      </c>
      <c r="R18" s="138">
        <v>16761236</v>
      </c>
    </row>
    <row r="19" spans="1:18" ht="15" x14ac:dyDescent="0.25">
      <c r="A19" s="116" t="s">
        <v>139</v>
      </c>
      <c r="B19" s="104">
        <v>126311</v>
      </c>
      <c r="C19" s="104">
        <v>177269</v>
      </c>
      <c r="D19" s="104">
        <v>173110</v>
      </c>
      <c r="E19" s="104">
        <v>173273</v>
      </c>
      <c r="F19" s="104">
        <v>172885</v>
      </c>
      <c r="G19" s="104">
        <v>172758.73800000001</v>
      </c>
      <c r="H19" s="104">
        <v>172630</v>
      </c>
      <c r="I19" s="104">
        <v>172692</v>
      </c>
      <c r="J19" s="104">
        <v>172655</v>
      </c>
      <c r="K19" s="68">
        <f>172643.59</f>
        <v>172643.59</v>
      </c>
      <c r="L19" s="93"/>
      <c r="M19" s="121"/>
      <c r="N19" s="122"/>
      <c r="P19">
        <v>23</v>
      </c>
      <c r="Q19">
        <v>10</v>
      </c>
      <c r="R19" s="138">
        <v>19066490</v>
      </c>
    </row>
    <row r="20" spans="1:18" ht="15" x14ac:dyDescent="0.25">
      <c r="A20" s="116" t="s">
        <v>140</v>
      </c>
      <c r="B20" s="104">
        <v>139405</v>
      </c>
      <c r="C20" s="104">
        <v>186609.31299999999</v>
      </c>
      <c r="D20" s="104">
        <v>184995</v>
      </c>
      <c r="E20" s="104">
        <v>183914</v>
      </c>
      <c r="F20" s="104">
        <v>183792</v>
      </c>
      <c r="G20" s="104">
        <v>183521</v>
      </c>
      <c r="H20" s="104">
        <v>183435.82800000001</v>
      </c>
      <c r="I20" s="104">
        <v>183379</v>
      </c>
      <c r="J20" s="104">
        <v>183367</v>
      </c>
      <c r="K20" s="68">
        <v>183370</v>
      </c>
      <c r="L20" s="93"/>
      <c r="M20" s="121">
        <v>2020</v>
      </c>
      <c r="N20" s="122">
        <v>172643979</v>
      </c>
      <c r="O20" s="40">
        <f>N20/1000</f>
        <v>172643.97899999999</v>
      </c>
      <c r="P20">
        <v>23</v>
      </c>
      <c r="Q20">
        <v>11</v>
      </c>
      <c r="R20" s="138">
        <v>14954482</v>
      </c>
    </row>
    <row r="21" spans="1:18" x14ac:dyDescent="0.2">
      <c r="A21" s="116" t="s">
        <v>143</v>
      </c>
      <c r="B21" s="104">
        <v>142352</v>
      </c>
      <c r="C21" s="104">
        <v>189363</v>
      </c>
      <c r="D21" s="104">
        <v>187890.35500000001</v>
      </c>
      <c r="E21" s="104">
        <v>186909</v>
      </c>
      <c r="F21" s="104">
        <v>186603</v>
      </c>
      <c r="G21" s="104">
        <v>186484</v>
      </c>
      <c r="H21" s="104">
        <v>186376</v>
      </c>
      <c r="I21" s="104">
        <v>186336</v>
      </c>
      <c r="J21" s="104">
        <v>186370</v>
      </c>
      <c r="K21" s="68">
        <v>186346</v>
      </c>
      <c r="L21" s="93"/>
      <c r="M21" s="40">
        <v>2021</v>
      </c>
      <c r="N21" s="40">
        <v>183369797</v>
      </c>
      <c r="O21" s="40">
        <f t="shared" ref="O21:O24" si="0">N21/1000</f>
        <v>183369.79699999999</v>
      </c>
      <c r="P21">
        <v>23</v>
      </c>
      <c r="Q21">
        <v>12</v>
      </c>
      <c r="R21" s="138">
        <v>19967651</v>
      </c>
    </row>
    <row r="22" spans="1:18" x14ac:dyDescent="0.2">
      <c r="A22" s="116" t="s">
        <v>156</v>
      </c>
      <c r="B22" s="104">
        <v>156889</v>
      </c>
      <c r="C22" s="104">
        <v>211187.81099999999</v>
      </c>
      <c r="D22" s="104">
        <v>210021</v>
      </c>
      <c r="E22" s="104">
        <v>209348</v>
      </c>
      <c r="F22" s="104">
        <v>208617</v>
      </c>
      <c r="G22" s="104">
        <v>208495</v>
      </c>
      <c r="H22" s="104"/>
      <c r="I22" s="104"/>
      <c r="J22" s="104"/>
      <c r="K22" s="68">
        <f>G22*G54</f>
        <v>208349.05349999998</v>
      </c>
      <c r="L22" s="93"/>
      <c r="M22" s="40">
        <v>2022</v>
      </c>
      <c r="N22" s="40">
        <v>186345669</v>
      </c>
      <c r="O22" s="40">
        <f t="shared" si="0"/>
        <v>186345.66899999999</v>
      </c>
      <c r="P22">
        <v>23</v>
      </c>
      <c r="Q22"/>
      <c r="R22" s="138">
        <v>208495424</v>
      </c>
    </row>
    <row r="23" spans="1:18" x14ac:dyDescent="0.2">
      <c r="A23" s="116" t="s">
        <v>162</v>
      </c>
      <c r="B23" s="104">
        <v>186371</v>
      </c>
      <c r="C23" s="104">
        <v>249040</v>
      </c>
      <c r="D23" s="104"/>
      <c r="E23" s="104"/>
      <c r="F23" s="104"/>
      <c r="G23" s="104"/>
      <c r="H23" s="104"/>
      <c r="I23" s="104"/>
      <c r="J23" s="104"/>
      <c r="K23" s="68">
        <f>C23*C54</f>
        <v>245179.88</v>
      </c>
      <c r="L23" s="93"/>
      <c r="M23" s="40">
        <v>2023</v>
      </c>
      <c r="N23" s="40">
        <v>208495424</v>
      </c>
      <c r="O23" s="40">
        <f t="shared" si="0"/>
        <v>208495.424</v>
      </c>
      <c r="P23">
        <v>24</v>
      </c>
      <c r="Q23">
        <v>1</v>
      </c>
      <c r="R23" s="138">
        <v>22462295</v>
      </c>
    </row>
    <row r="24" spans="1:18" x14ac:dyDescent="0.2">
      <c r="A24" s="110"/>
      <c r="B24" s="95"/>
      <c r="C24" s="81"/>
      <c r="D24" s="81"/>
      <c r="E24" s="81"/>
      <c r="F24" s="81"/>
      <c r="G24" s="81"/>
      <c r="H24" s="1"/>
      <c r="I24" s="1"/>
      <c r="J24" s="1"/>
      <c r="K24" s="95"/>
      <c r="L24" s="93"/>
      <c r="M24" s="40">
        <v>2024</v>
      </c>
      <c r="N24" s="40">
        <v>249040405</v>
      </c>
      <c r="O24" s="40">
        <f t="shared" si="0"/>
        <v>249040.405</v>
      </c>
      <c r="P24">
        <v>24</v>
      </c>
      <c r="Q24">
        <v>2</v>
      </c>
      <c r="R24" s="138">
        <v>15444443</v>
      </c>
    </row>
    <row r="25" spans="1:18" x14ac:dyDescent="0.2">
      <c r="A25" s="37" t="s">
        <v>23</v>
      </c>
      <c r="B25" s="38"/>
      <c r="C25" s="38"/>
      <c r="D25" s="38"/>
      <c r="E25" s="10"/>
      <c r="F25" s="38"/>
      <c r="G25" s="38"/>
      <c r="H25" s="38"/>
      <c r="I25" s="38"/>
      <c r="J25" s="38"/>
      <c r="L25" s="93"/>
      <c r="P25">
        <v>24</v>
      </c>
      <c r="Q25">
        <v>3</v>
      </c>
      <c r="R25" s="138">
        <v>18807092</v>
      </c>
    </row>
    <row r="26" spans="1:18" x14ac:dyDescent="0.2">
      <c r="A26" s="41" t="s">
        <v>11</v>
      </c>
      <c r="E26" s="42"/>
      <c r="L26" s="93"/>
      <c r="P26">
        <v>24</v>
      </c>
      <c r="Q26">
        <v>4</v>
      </c>
      <c r="R26" s="138">
        <v>19787666</v>
      </c>
    </row>
    <row r="27" spans="1:18" x14ac:dyDescent="0.2">
      <c r="A27" s="43" t="s">
        <v>12</v>
      </c>
      <c r="B27" s="43" t="s">
        <v>24</v>
      </c>
      <c r="C27" s="43" t="s">
        <v>25</v>
      </c>
      <c r="D27" s="43" t="s">
        <v>26</v>
      </c>
      <c r="E27" s="43" t="s">
        <v>27</v>
      </c>
      <c r="F27" s="43" t="s">
        <v>28</v>
      </c>
      <c r="G27" s="43" t="s">
        <v>29</v>
      </c>
      <c r="H27" s="43" t="s">
        <v>30</v>
      </c>
      <c r="I27" s="43" t="s">
        <v>31</v>
      </c>
      <c r="J27" s="43" t="s">
        <v>32</v>
      </c>
      <c r="K27" s="46"/>
      <c r="L27" s="93"/>
      <c r="P27">
        <v>24</v>
      </c>
      <c r="Q27">
        <v>5</v>
      </c>
      <c r="R27" s="138">
        <v>21620477</v>
      </c>
    </row>
    <row r="28" spans="1:18" x14ac:dyDescent="0.2">
      <c r="A28" s="41"/>
      <c r="B28" s="44"/>
      <c r="K28" s="45"/>
      <c r="L28" s="93"/>
      <c r="P28">
        <v>24</v>
      </c>
      <c r="Q28">
        <v>6</v>
      </c>
      <c r="R28" s="138">
        <v>22269922</v>
      </c>
    </row>
    <row r="29" spans="1:18" x14ac:dyDescent="0.2">
      <c r="A29" s="84" t="str">
        <f t="shared" ref="A29:A44" si="1">A8</f>
        <v>09</v>
      </c>
      <c r="B29" s="47">
        <f t="shared" ref="B29:J29" si="2">ROUND(IF(C8=0," ",IF(B8=0," ",C8/B8)),4)</f>
        <v>1.2733000000000001</v>
      </c>
      <c r="C29" s="47">
        <f t="shared" si="2"/>
        <v>0.99009999999999998</v>
      </c>
      <c r="D29" s="47">
        <f t="shared" si="2"/>
        <v>0.98780000000000001</v>
      </c>
      <c r="E29" s="47">
        <f t="shared" si="2"/>
        <v>0.998</v>
      </c>
      <c r="F29" s="47">
        <f t="shared" si="2"/>
        <v>0.99950000000000006</v>
      </c>
      <c r="G29" s="47">
        <f t="shared" si="2"/>
        <v>0.999</v>
      </c>
      <c r="H29" s="47">
        <f t="shared" si="2"/>
        <v>0.99960000000000004</v>
      </c>
      <c r="I29" s="47">
        <f t="shared" si="2"/>
        <v>1.0004</v>
      </c>
      <c r="J29" s="47">
        <f t="shared" si="2"/>
        <v>1.2056</v>
      </c>
      <c r="L29" s="93"/>
      <c r="P29">
        <v>24</v>
      </c>
      <c r="Q29">
        <v>7</v>
      </c>
      <c r="R29" s="138">
        <v>23373290</v>
      </c>
    </row>
    <row r="30" spans="1:18" x14ac:dyDescent="0.2">
      <c r="A30" s="84" t="str">
        <f t="shared" si="1"/>
        <v>10</v>
      </c>
      <c r="B30" s="47">
        <f t="shared" ref="B30:J30" si="3">ROUND(IF(C9=0," ",IF(B9=0," ",C9/B9)),4)</f>
        <v>1.2592000000000001</v>
      </c>
      <c r="C30" s="47">
        <f t="shared" si="3"/>
        <v>1.0113000000000001</v>
      </c>
      <c r="D30" s="47">
        <f t="shared" si="3"/>
        <v>0.99099999999999999</v>
      </c>
      <c r="E30" s="47">
        <f t="shared" si="3"/>
        <v>0.99450000000000005</v>
      </c>
      <c r="F30" s="47">
        <f t="shared" si="3"/>
        <v>1.0007999999999999</v>
      </c>
      <c r="G30" s="47">
        <f t="shared" si="3"/>
        <v>0.99929999999999997</v>
      </c>
      <c r="H30" s="47">
        <f t="shared" si="3"/>
        <v>0.99980000000000002</v>
      </c>
      <c r="I30" s="47">
        <f t="shared" si="3"/>
        <v>1</v>
      </c>
      <c r="J30" s="47">
        <f t="shared" si="3"/>
        <v>1.1218999999999999</v>
      </c>
      <c r="L30" s="93"/>
      <c r="P30">
        <v>24</v>
      </c>
      <c r="Q30">
        <v>8</v>
      </c>
      <c r="R30" s="138">
        <v>21097042</v>
      </c>
    </row>
    <row r="31" spans="1:18" x14ac:dyDescent="0.2">
      <c r="A31" s="84" t="str">
        <f t="shared" si="1"/>
        <v>11</v>
      </c>
      <c r="B31" s="47">
        <f t="shared" ref="B31:J31" si="4">ROUND(IF(C10=0," ",IF(B10=0," ",C10/B10)),4)</f>
        <v>1.3264</v>
      </c>
      <c r="C31" s="47">
        <f t="shared" si="4"/>
        <v>0.99819999999999998</v>
      </c>
      <c r="D31" s="47">
        <f t="shared" si="4"/>
        <v>0.99370000000000003</v>
      </c>
      <c r="E31" s="47">
        <f t="shared" si="4"/>
        <v>0.99839999999999995</v>
      </c>
      <c r="F31" s="47">
        <f t="shared" si="4"/>
        <v>0.99880000000000002</v>
      </c>
      <c r="G31" s="47">
        <f t="shared" si="4"/>
        <v>1</v>
      </c>
      <c r="H31" s="47">
        <f t="shared" si="4"/>
        <v>1.0011000000000001</v>
      </c>
      <c r="I31" s="47">
        <f t="shared" si="4"/>
        <v>1</v>
      </c>
      <c r="J31" s="47">
        <f t="shared" si="4"/>
        <v>1.0311999999999999</v>
      </c>
      <c r="L31" s="93"/>
      <c r="P31">
        <v>24</v>
      </c>
      <c r="Q31">
        <v>9</v>
      </c>
      <c r="R31" s="138">
        <v>18223416</v>
      </c>
    </row>
    <row r="32" spans="1:18" x14ac:dyDescent="0.2">
      <c r="A32" s="84" t="str">
        <f t="shared" si="1"/>
        <v>12</v>
      </c>
      <c r="B32" s="47">
        <f t="shared" ref="B32:J32" si="5">ROUND(IF(C11=0," ",IF(B11=0," ",C11/B11)),4)</f>
        <v>1.3568</v>
      </c>
      <c r="C32" s="47">
        <f t="shared" si="5"/>
        <v>0.98250000000000004</v>
      </c>
      <c r="D32" s="47">
        <f t="shared" si="5"/>
        <v>0.99350000000000005</v>
      </c>
      <c r="E32" s="47">
        <f t="shared" si="5"/>
        <v>0.99780000000000002</v>
      </c>
      <c r="F32" s="47">
        <f t="shared" si="5"/>
        <v>0.99850000000000005</v>
      </c>
      <c r="G32" s="47">
        <f t="shared" si="5"/>
        <v>1.0006999999999999</v>
      </c>
      <c r="H32" s="47">
        <f t="shared" si="5"/>
        <v>0.99970000000000003</v>
      </c>
      <c r="I32" s="47">
        <f t="shared" si="5"/>
        <v>1.0001</v>
      </c>
      <c r="J32" s="47">
        <f t="shared" si="5"/>
        <v>0.93669999999999998</v>
      </c>
      <c r="L32" s="93"/>
      <c r="P32">
        <v>24</v>
      </c>
      <c r="Q32">
        <v>10</v>
      </c>
      <c r="R32" s="138">
        <v>23446712</v>
      </c>
    </row>
    <row r="33" spans="1:18" x14ac:dyDescent="0.2">
      <c r="A33" s="84" t="str">
        <f t="shared" si="1"/>
        <v>13</v>
      </c>
      <c r="B33" s="47">
        <f t="shared" ref="B33:J33" si="6">ROUND(IF(C12=0," ",IF(B12=0," ",C12/B12)),4)</f>
        <v>1.3709</v>
      </c>
      <c r="C33" s="47">
        <f t="shared" si="6"/>
        <v>0.99</v>
      </c>
      <c r="D33" s="47">
        <f t="shared" si="6"/>
        <v>0.99690000000000001</v>
      </c>
      <c r="E33" s="47">
        <f t="shared" si="6"/>
        <v>1.0014000000000001</v>
      </c>
      <c r="F33" s="47">
        <f t="shared" si="6"/>
        <v>0.99829999999999997</v>
      </c>
      <c r="G33" s="47">
        <f t="shared" si="6"/>
        <v>0.99670000000000003</v>
      </c>
      <c r="H33" s="47">
        <f t="shared" si="6"/>
        <v>1.0001</v>
      </c>
      <c r="I33" s="47">
        <f t="shared" si="6"/>
        <v>1.0002</v>
      </c>
      <c r="J33" s="47">
        <f t="shared" si="6"/>
        <v>0.85960000000000003</v>
      </c>
      <c r="L33" s="93"/>
      <c r="P33">
        <v>24</v>
      </c>
      <c r="Q33">
        <v>11</v>
      </c>
      <c r="R33" s="138">
        <v>20059254</v>
      </c>
    </row>
    <row r="34" spans="1:18" x14ac:dyDescent="0.2">
      <c r="A34" s="84" t="str">
        <f t="shared" si="1"/>
        <v>14</v>
      </c>
      <c r="B34" s="47">
        <f t="shared" ref="B34:J34" si="7">ROUND(IF(C13=0," ",IF(B13=0," ",C13/B13)),4)</f>
        <v>1.3880999999999999</v>
      </c>
      <c r="C34" s="47">
        <f t="shared" si="7"/>
        <v>0.98780000000000001</v>
      </c>
      <c r="D34" s="47">
        <f t="shared" si="7"/>
        <v>0.995</v>
      </c>
      <c r="E34" s="47">
        <f t="shared" si="7"/>
        <v>1.0004</v>
      </c>
      <c r="F34" s="47">
        <f t="shared" si="7"/>
        <v>0.99950000000000006</v>
      </c>
      <c r="G34" s="47">
        <f t="shared" si="7"/>
        <v>0.99850000000000005</v>
      </c>
      <c r="H34" s="47">
        <f t="shared" si="7"/>
        <v>0.99990000000000001</v>
      </c>
      <c r="I34" s="47">
        <f t="shared" si="7"/>
        <v>1</v>
      </c>
      <c r="J34" s="47">
        <f t="shared" si="7"/>
        <v>1</v>
      </c>
      <c r="L34" s="93"/>
      <c r="P34">
        <v>24</v>
      </c>
      <c r="Q34">
        <v>12</v>
      </c>
      <c r="R34" s="138">
        <v>22448786</v>
      </c>
    </row>
    <row r="35" spans="1:18" x14ac:dyDescent="0.2">
      <c r="A35" s="84" t="str">
        <f t="shared" si="1"/>
        <v>15</v>
      </c>
      <c r="B35" s="47">
        <f t="shared" ref="B35:J35" si="8">ROUND(IF(C14=0," ",IF(B14=0," ",C14/B14)),4)</f>
        <v>1.3633999999999999</v>
      </c>
      <c r="C35" s="47">
        <f t="shared" si="8"/>
        <v>0.99609999999999999</v>
      </c>
      <c r="D35" s="47">
        <f t="shared" si="8"/>
        <v>0.99239999999999995</v>
      </c>
      <c r="E35" s="47">
        <f t="shared" si="8"/>
        <v>0.99709999999999999</v>
      </c>
      <c r="F35" s="47">
        <f t="shared" si="8"/>
        <v>0.99980000000000002</v>
      </c>
      <c r="G35" s="47">
        <f t="shared" si="8"/>
        <v>0.99939999999999996</v>
      </c>
      <c r="H35" s="47">
        <f t="shared" si="8"/>
        <v>0.99980000000000002</v>
      </c>
      <c r="I35" s="47">
        <f t="shared" si="8"/>
        <v>1</v>
      </c>
      <c r="J35" s="47">
        <f t="shared" si="8"/>
        <v>0.99980000000000002</v>
      </c>
      <c r="L35" s="93"/>
      <c r="P35">
        <v>24</v>
      </c>
      <c r="Q35"/>
      <c r="R35" s="138">
        <v>249040395</v>
      </c>
    </row>
    <row r="36" spans="1:18" x14ac:dyDescent="0.2">
      <c r="A36" s="84" t="str">
        <f t="shared" si="1"/>
        <v>16</v>
      </c>
      <c r="B36" s="47">
        <f t="shared" ref="B36:J36" si="9">ROUND(IF(C15=0," ",IF(B15=0," ",C15/B15)),4)</f>
        <v>1.3654999999999999</v>
      </c>
      <c r="C36" s="47">
        <f t="shared" si="9"/>
        <v>0.9859</v>
      </c>
      <c r="D36" s="47">
        <f t="shared" si="9"/>
        <v>0.99309999999999998</v>
      </c>
      <c r="E36" s="47">
        <f t="shared" si="9"/>
        <v>0.99790000000000001</v>
      </c>
      <c r="F36" s="47">
        <f t="shared" si="9"/>
        <v>0.997</v>
      </c>
      <c r="G36" s="47">
        <f t="shared" si="9"/>
        <v>0.99950000000000006</v>
      </c>
      <c r="H36" s="47">
        <f t="shared" si="9"/>
        <v>0.99990000000000001</v>
      </c>
      <c r="I36" s="47">
        <f t="shared" si="9"/>
        <v>1</v>
      </c>
      <c r="J36" s="47">
        <f t="shared" si="9"/>
        <v>1</v>
      </c>
      <c r="L36" s="93"/>
      <c r="P36"/>
      <c r="Q36"/>
      <c r="R36"/>
    </row>
    <row r="37" spans="1:18" x14ac:dyDescent="0.2">
      <c r="A37" s="84" t="str">
        <f t="shared" si="1"/>
        <v>17</v>
      </c>
      <c r="B37" s="47">
        <f t="shared" ref="B37:J37" si="10">ROUND(IF(C16=0," ",IF(B16=0," ",C16/B16)),4)</f>
        <v>1.3696999999999999</v>
      </c>
      <c r="C37" s="47">
        <f t="shared" si="10"/>
        <v>0.995</v>
      </c>
      <c r="D37" s="47">
        <f t="shared" si="10"/>
        <v>0.99429999999999996</v>
      </c>
      <c r="E37" s="47">
        <f t="shared" si="10"/>
        <v>0.99760000000000004</v>
      </c>
      <c r="F37" s="47">
        <f t="shared" si="10"/>
        <v>0.99950000000000006</v>
      </c>
      <c r="G37" s="47">
        <f t="shared" si="10"/>
        <v>0.99980000000000002</v>
      </c>
      <c r="H37" s="47">
        <f t="shared" si="10"/>
        <v>0.99990000000000001</v>
      </c>
      <c r="I37" s="47">
        <f t="shared" si="10"/>
        <v>0.99990000000000001</v>
      </c>
      <c r="J37" s="47">
        <f t="shared" si="10"/>
        <v>0.99990000000000001</v>
      </c>
      <c r="L37" s="93"/>
    </row>
    <row r="38" spans="1:18" x14ac:dyDescent="0.2">
      <c r="A38" s="84" t="str">
        <f t="shared" si="1"/>
        <v>18</v>
      </c>
      <c r="B38" s="47">
        <f t="shared" ref="B38:J38" si="11">ROUND(IF(C17=0," ",IF(B17=0," ",C17/B17)),4)</f>
        <v>1.3813</v>
      </c>
      <c r="C38" s="47">
        <f t="shared" si="11"/>
        <v>0.98429999999999995</v>
      </c>
      <c r="D38" s="47">
        <f t="shared" si="11"/>
        <v>0.99260000000000004</v>
      </c>
      <c r="E38" s="47">
        <f t="shared" si="11"/>
        <v>0.99480000000000002</v>
      </c>
      <c r="F38" s="47">
        <f t="shared" si="11"/>
        <v>0.99929999999999997</v>
      </c>
      <c r="G38" s="47">
        <f t="shared" si="11"/>
        <v>0.99960000000000004</v>
      </c>
      <c r="H38" s="47">
        <f t="shared" si="11"/>
        <v>1.0001</v>
      </c>
      <c r="I38" s="47">
        <f t="shared" si="11"/>
        <v>0.99980000000000002</v>
      </c>
      <c r="J38" s="47">
        <f t="shared" si="11"/>
        <v>1</v>
      </c>
      <c r="L38" s="93"/>
    </row>
    <row r="39" spans="1:18" x14ac:dyDescent="0.2">
      <c r="A39" s="84" t="str">
        <f t="shared" si="1"/>
        <v>19</v>
      </c>
      <c r="B39" s="47">
        <f t="shared" ref="B39:J39" si="12">ROUND(IF(C18=0," ",IF(B18=0," ",C18/B18)),4)</f>
        <v>1.3532999999999999</v>
      </c>
      <c r="C39" s="47">
        <f t="shared" si="12"/>
        <v>0.96499999999999997</v>
      </c>
      <c r="D39" s="47">
        <f t="shared" si="12"/>
        <v>0.9627</v>
      </c>
      <c r="E39" s="47">
        <f t="shared" si="12"/>
        <v>0.99719999999999998</v>
      </c>
      <c r="F39" s="47">
        <f t="shared" si="12"/>
        <v>1.0018</v>
      </c>
      <c r="G39" s="47">
        <f t="shared" si="12"/>
        <v>0.99950000000000006</v>
      </c>
      <c r="H39" s="47">
        <f t="shared" si="12"/>
        <v>0.99990000000000001</v>
      </c>
      <c r="I39" s="47">
        <f t="shared" si="12"/>
        <v>1</v>
      </c>
      <c r="J39" s="47">
        <f t="shared" si="12"/>
        <v>0.99990000000000001</v>
      </c>
      <c r="L39" s="93"/>
    </row>
    <row r="40" spans="1:18" x14ac:dyDescent="0.2">
      <c r="A40" s="84" t="str">
        <f t="shared" si="1"/>
        <v>20</v>
      </c>
      <c r="B40" s="47">
        <f t="shared" ref="B40:J40" si="13">ROUND(IF(C19=0," ",IF(B19=0," ",C19/B19)),4)</f>
        <v>1.4034</v>
      </c>
      <c r="C40" s="47">
        <f t="shared" si="13"/>
        <v>0.97650000000000003</v>
      </c>
      <c r="D40" s="47">
        <f t="shared" si="13"/>
        <v>1.0008999999999999</v>
      </c>
      <c r="E40" s="47">
        <f t="shared" si="13"/>
        <v>0.99780000000000002</v>
      </c>
      <c r="F40" s="47">
        <f t="shared" si="13"/>
        <v>0.99929999999999997</v>
      </c>
      <c r="G40" s="47">
        <f t="shared" si="13"/>
        <v>0.99929999999999997</v>
      </c>
      <c r="H40" s="47">
        <f t="shared" si="13"/>
        <v>1.0004</v>
      </c>
      <c r="I40" s="47">
        <f t="shared" si="13"/>
        <v>0.99980000000000002</v>
      </c>
      <c r="J40" s="47">
        <f t="shared" si="13"/>
        <v>0.99990000000000001</v>
      </c>
      <c r="L40" s="93"/>
    </row>
    <row r="41" spans="1:18" x14ac:dyDescent="0.2">
      <c r="A41" s="84" t="str">
        <f t="shared" si="1"/>
        <v>21</v>
      </c>
      <c r="B41" s="47">
        <f t="shared" ref="B41:J41" si="14">ROUND(IF(C20=0," ",IF(B20=0," ",C20/B20)),4)</f>
        <v>1.3386</v>
      </c>
      <c r="C41" s="47">
        <f t="shared" si="14"/>
        <v>0.99129999999999996</v>
      </c>
      <c r="D41" s="47">
        <f t="shared" si="14"/>
        <v>0.99419999999999997</v>
      </c>
      <c r="E41" s="47">
        <f t="shared" si="14"/>
        <v>0.99929999999999997</v>
      </c>
      <c r="F41" s="47">
        <f t="shared" si="14"/>
        <v>0.99850000000000005</v>
      </c>
      <c r="G41" s="47">
        <f t="shared" si="14"/>
        <v>0.99950000000000006</v>
      </c>
      <c r="H41" s="47">
        <f t="shared" si="14"/>
        <v>0.99970000000000003</v>
      </c>
      <c r="I41" s="47">
        <f t="shared" si="14"/>
        <v>0.99990000000000001</v>
      </c>
      <c r="J41" s="47">
        <f t="shared" si="14"/>
        <v>1</v>
      </c>
      <c r="L41" s="93"/>
    </row>
    <row r="42" spans="1:18" x14ac:dyDescent="0.2">
      <c r="A42" s="84" t="str">
        <f t="shared" si="1"/>
        <v>22</v>
      </c>
      <c r="B42" s="47">
        <f t="shared" ref="B42:J42" si="15">ROUND(IF(C21=0," ",IF(B21=0," ",C21/B21)),4)</f>
        <v>1.3302</v>
      </c>
      <c r="C42" s="47">
        <f t="shared" si="15"/>
        <v>0.99219999999999997</v>
      </c>
      <c r="D42" s="47">
        <f t="shared" si="15"/>
        <v>0.99480000000000002</v>
      </c>
      <c r="E42" s="47">
        <f t="shared" si="15"/>
        <v>0.99839999999999995</v>
      </c>
      <c r="F42" s="47">
        <f t="shared" si="15"/>
        <v>0.99939999999999996</v>
      </c>
      <c r="G42" s="47">
        <f t="shared" si="15"/>
        <v>0.99939999999999996</v>
      </c>
      <c r="H42" s="47">
        <f t="shared" si="15"/>
        <v>0.99980000000000002</v>
      </c>
      <c r="I42" s="47">
        <f t="shared" si="15"/>
        <v>1.0002</v>
      </c>
      <c r="J42" s="47">
        <f t="shared" si="15"/>
        <v>0.99990000000000001</v>
      </c>
      <c r="L42" s="93"/>
    </row>
    <row r="43" spans="1:18" x14ac:dyDescent="0.2">
      <c r="A43" s="84" t="str">
        <f t="shared" si="1"/>
        <v>23</v>
      </c>
      <c r="B43" s="47">
        <f>ROUND(IF(C22=0," ",IF(B22=0," ",C22/B22)),4)</f>
        <v>1.3461000000000001</v>
      </c>
      <c r="C43" s="47">
        <f>ROUND(IF(D22=0," ",IF(C22=0," ",D22/C22)),4)</f>
        <v>0.99450000000000005</v>
      </c>
      <c r="D43" s="47">
        <f>ROUND(IF(E22=0," ",IF(D22=0," ",E22/D22)),4)</f>
        <v>0.99680000000000002</v>
      </c>
      <c r="E43" s="47">
        <f>ROUND(IF(F22=0," ",IF(E22=0," ",F22/E22)),4)</f>
        <v>0.99650000000000005</v>
      </c>
      <c r="F43" s="47">
        <f>ROUND(IF(G22=0," ",IF(F22=0," ",G22/F22)),4)</f>
        <v>0.99939999999999996</v>
      </c>
      <c r="G43" s="48"/>
      <c r="H43" s="48"/>
      <c r="I43" s="48"/>
      <c r="J43" s="48"/>
      <c r="L43" s="93"/>
    </row>
    <row r="44" spans="1:18" x14ac:dyDescent="0.2">
      <c r="A44" s="84" t="str">
        <f t="shared" si="1"/>
        <v>24</v>
      </c>
      <c r="B44" s="47">
        <f>ROUND(IF(C23=0," ",IF(B23=0," ",C23/B23)),4)</f>
        <v>1.3363</v>
      </c>
      <c r="C44" s="47"/>
      <c r="D44" s="47"/>
      <c r="E44" s="47"/>
      <c r="F44" s="48"/>
      <c r="G44" s="48"/>
      <c r="H44" s="48"/>
      <c r="I44" s="48"/>
      <c r="J44" s="48"/>
      <c r="L44" s="93"/>
    </row>
    <row r="45" spans="1:18" x14ac:dyDescent="0.2">
      <c r="A45" s="84"/>
      <c r="B45" s="47"/>
      <c r="C45" s="47"/>
      <c r="D45" s="47"/>
      <c r="E45" s="47"/>
      <c r="F45" s="48"/>
      <c r="G45" s="48"/>
      <c r="H45" s="48"/>
      <c r="I45" s="48"/>
      <c r="J45" s="48"/>
      <c r="L45" s="93"/>
    </row>
    <row r="46" spans="1:18" x14ac:dyDescent="0.2">
      <c r="B46" s="47"/>
      <c r="L46" s="93"/>
    </row>
    <row r="47" spans="1:18" x14ac:dyDescent="0.2">
      <c r="A47" s="45" t="s">
        <v>45</v>
      </c>
      <c r="B47" s="64">
        <f>AVERAGE(B42:B44)</f>
        <v>1.3375333333333337</v>
      </c>
      <c r="C47" s="64">
        <f>AVERAGE(C41:C43)</f>
        <v>0.99266666666666659</v>
      </c>
      <c r="D47" s="64">
        <f t="shared" ref="D47:F47" si="16">AVERAGE(D41:D43)</f>
        <v>0.99526666666666663</v>
      </c>
      <c r="E47" s="64">
        <f t="shared" si="16"/>
        <v>0.99806666666666677</v>
      </c>
      <c r="F47" s="64">
        <f t="shared" si="16"/>
        <v>0.99909999999999999</v>
      </c>
      <c r="G47" s="64">
        <f t="shared" ref="G47:J47" si="17">AVERAGE(G40:G42)</f>
        <v>0.99940000000000007</v>
      </c>
      <c r="H47" s="64">
        <f t="shared" si="17"/>
        <v>0.99996666666666656</v>
      </c>
      <c r="I47" s="64">
        <f t="shared" si="17"/>
        <v>0.99996666666666678</v>
      </c>
      <c r="J47" s="64">
        <f t="shared" si="17"/>
        <v>0.99993333333333334</v>
      </c>
      <c r="L47" s="93"/>
    </row>
    <row r="48" spans="1:18" x14ac:dyDescent="0.2">
      <c r="A48" s="45" t="s">
        <v>46</v>
      </c>
      <c r="B48" s="47">
        <f>B47</f>
        <v>1.3375333333333337</v>
      </c>
      <c r="C48" s="47">
        <f t="shared" ref="C48:J48" si="18">C47</f>
        <v>0.99266666666666659</v>
      </c>
      <c r="D48" s="47">
        <f t="shared" si="18"/>
        <v>0.99526666666666663</v>
      </c>
      <c r="E48" s="47">
        <f t="shared" si="18"/>
        <v>0.99806666666666677</v>
      </c>
      <c r="F48" s="47">
        <f t="shared" si="18"/>
        <v>0.99909999999999999</v>
      </c>
      <c r="G48" s="47">
        <f t="shared" si="18"/>
        <v>0.99940000000000007</v>
      </c>
      <c r="H48" s="47">
        <f t="shared" si="18"/>
        <v>0.99996666666666656</v>
      </c>
      <c r="I48" s="64">
        <f t="shared" si="18"/>
        <v>0.99996666666666678</v>
      </c>
      <c r="J48" s="47">
        <f t="shared" si="18"/>
        <v>0.99993333333333334</v>
      </c>
      <c r="L48" s="93"/>
    </row>
    <row r="51" spans="1:11" x14ac:dyDescent="0.2">
      <c r="A51" s="37" t="s">
        <v>35</v>
      </c>
      <c r="B51" s="38"/>
      <c r="C51" s="38"/>
      <c r="D51" s="38"/>
      <c r="E51" s="10"/>
      <c r="F51" s="38"/>
      <c r="G51" s="38"/>
      <c r="H51" s="38"/>
      <c r="I51" s="38"/>
      <c r="J51" s="38"/>
    </row>
    <row r="52" spans="1:11" x14ac:dyDescent="0.2">
      <c r="B52" s="43" t="s">
        <v>36</v>
      </c>
      <c r="C52" s="43" t="s">
        <v>37</v>
      </c>
      <c r="D52" s="43" t="s">
        <v>38</v>
      </c>
      <c r="E52" s="43" t="s">
        <v>39</v>
      </c>
      <c r="F52" s="43" t="s">
        <v>40</v>
      </c>
      <c r="G52" s="43" t="s">
        <v>41</v>
      </c>
      <c r="H52" s="43" t="s">
        <v>42</v>
      </c>
      <c r="I52" s="43" t="s">
        <v>43</v>
      </c>
      <c r="J52" s="43" t="s">
        <v>32</v>
      </c>
    </row>
    <row r="53" spans="1:11" x14ac:dyDescent="0.2">
      <c r="B53" s="44"/>
      <c r="K53" s="45"/>
    </row>
    <row r="54" spans="1:11" x14ac:dyDescent="0.2">
      <c r="B54" s="47">
        <f t="shared" ref="B54:I54" si="19">ROUND(C54*B48,4)</f>
        <v>1.3168</v>
      </c>
      <c r="C54" s="47">
        <f t="shared" si="19"/>
        <v>0.98450000000000004</v>
      </c>
      <c r="D54" s="47">
        <f t="shared" si="19"/>
        <v>0.99180000000000001</v>
      </c>
      <c r="E54" s="47">
        <f t="shared" si="19"/>
        <v>0.99650000000000005</v>
      </c>
      <c r="F54" s="47">
        <f t="shared" si="19"/>
        <v>0.99839999999999995</v>
      </c>
      <c r="G54" s="47">
        <f t="shared" si="19"/>
        <v>0.99929999999999997</v>
      </c>
      <c r="H54" s="47">
        <f t="shared" si="19"/>
        <v>0.99990000000000001</v>
      </c>
      <c r="I54" s="47">
        <f t="shared" si="19"/>
        <v>0.99990000000000001</v>
      </c>
      <c r="J54" s="47">
        <f>J48</f>
        <v>0.99993333333333334</v>
      </c>
    </row>
    <row r="56" spans="1:11" x14ac:dyDescent="0.2">
      <c r="B56" s="45"/>
    </row>
    <row r="57" spans="1:11" x14ac:dyDescent="0.2">
      <c r="B57" s="45" t="s">
        <v>44</v>
      </c>
      <c r="K57" s="49"/>
    </row>
    <row r="58" spans="1:11" ht="12" customHeight="1" x14ac:dyDescent="0.2"/>
  </sheetData>
  <phoneticPr fontId="0" type="noConversion"/>
  <printOptions gridLinesSet="0"/>
  <pageMargins left="0" right="0" top="0.5" bottom="0" header="0" footer="0.27"/>
  <pageSetup scale="81" orientation="landscape" horizontalDpi="300" verticalDpi="300" r:id="rId1"/>
  <headerFooter alignWithMargins="0">
    <oddFooter>&amp;R&amp;8&amp;D
n:\lrc\ind00\ultimate\&amp;F&amp;A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 codeName="Sheet4"/>
  <dimension ref="A1:O114"/>
  <sheetViews>
    <sheetView showGridLines="0" view="pageBreakPreview" topLeftCell="D53" zoomScale="120" zoomScaleNormal="100" zoomScaleSheetLayoutView="120" workbookViewId="0">
      <selection activeCell="H11" sqref="H11"/>
    </sheetView>
  </sheetViews>
  <sheetFormatPr defaultColWidth="8.625" defaultRowHeight="12.75" x14ac:dyDescent="0.2"/>
  <cols>
    <col min="1" max="1" width="5.625" style="20" customWidth="1"/>
    <col min="2" max="2" width="4.625" style="20" customWidth="1"/>
    <col min="3" max="10" width="12.625" style="20" customWidth="1"/>
    <col min="11" max="11" width="11.375" style="1" bestFit="1" customWidth="1"/>
    <col min="12" max="12" width="10.375" style="1" bestFit="1" customWidth="1"/>
    <col min="13" max="16384" width="8.625" style="20"/>
  </cols>
  <sheetData>
    <row r="1" spans="1:15" x14ac:dyDescent="0.2">
      <c r="A1" s="17" t="s">
        <v>75</v>
      </c>
      <c r="B1" s="18"/>
      <c r="C1" s="18"/>
      <c r="D1" s="18"/>
      <c r="E1" s="18"/>
      <c r="F1" s="10"/>
      <c r="G1" s="18"/>
      <c r="H1" s="18"/>
      <c r="I1" s="19" t="str">
        <f>ULTPYAO!J1</f>
        <v xml:space="preserve">DOCKET #:  </v>
      </c>
      <c r="J1" s="11" t="str">
        <f>ULTPQPP!AG1</f>
        <v>LR 25.07</v>
      </c>
    </row>
    <row r="2" spans="1:15" x14ac:dyDescent="0.2">
      <c r="A2" s="17" t="s">
        <v>76</v>
      </c>
      <c r="B2" s="18"/>
      <c r="C2" s="18"/>
      <c r="D2" s="18"/>
      <c r="E2" s="10"/>
      <c r="F2" s="18"/>
      <c r="G2" s="18"/>
      <c r="H2" s="18"/>
      <c r="I2" s="19" t="str">
        <f>ULTPYAO!J2</f>
        <v xml:space="preserve">EXHIBIT #:  </v>
      </c>
      <c r="J2" s="78">
        <f>ULTPQPP!AG2</f>
        <v>3</v>
      </c>
    </row>
    <row r="3" spans="1:15" x14ac:dyDescent="0.2">
      <c r="A3" s="17"/>
      <c r="B3" s="18"/>
      <c r="C3" s="18"/>
      <c r="D3" s="18"/>
      <c r="E3" s="10"/>
      <c r="F3" s="18"/>
      <c r="G3" s="18"/>
      <c r="H3" s="18"/>
      <c r="I3" s="19" t="str">
        <f>ULTPYAO!J3</f>
        <v xml:space="preserve">PAGE:  </v>
      </c>
      <c r="J3" s="6" t="str">
        <f>IF('ind or final'!A1=1,"",'ind or final'!D9)</f>
        <v/>
      </c>
    </row>
    <row r="4" spans="1:15" x14ac:dyDescent="0.2">
      <c r="A4" s="21" t="s">
        <v>50</v>
      </c>
    </row>
    <row r="5" spans="1:15" x14ac:dyDescent="0.2">
      <c r="A5" s="22" t="s">
        <v>51</v>
      </c>
      <c r="B5" s="22" t="s">
        <v>52</v>
      </c>
      <c r="C5" s="23">
        <v>3</v>
      </c>
      <c r="D5" s="23">
        <v>6</v>
      </c>
      <c r="E5" s="23">
        <v>9</v>
      </c>
      <c r="F5" s="23">
        <v>12</v>
      </c>
      <c r="G5" s="23">
        <v>15</v>
      </c>
      <c r="H5" s="23">
        <v>18</v>
      </c>
      <c r="I5" s="23">
        <v>21</v>
      </c>
      <c r="J5" s="22" t="s">
        <v>53</v>
      </c>
    </row>
    <row r="6" spans="1:15" x14ac:dyDescent="0.2">
      <c r="A6" s="73"/>
      <c r="C6" s="85"/>
      <c r="D6" s="1"/>
      <c r="E6" s="1"/>
      <c r="F6" s="1"/>
      <c r="G6" s="1"/>
      <c r="H6" s="1"/>
      <c r="I6" s="1"/>
      <c r="J6" s="25"/>
    </row>
    <row r="7" spans="1:15" x14ac:dyDescent="0.2">
      <c r="A7" s="99" t="s">
        <v>135</v>
      </c>
      <c r="B7" s="117">
        <v>1</v>
      </c>
      <c r="C7" s="104">
        <v>45254.955000000002</v>
      </c>
      <c r="D7" s="104">
        <v>42895.012999999999</v>
      </c>
      <c r="E7" s="104">
        <v>42058.305</v>
      </c>
      <c r="F7" s="104">
        <v>41715.718000000001</v>
      </c>
      <c r="G7" s="104">
        <v>41569.466999999997</v>
      </c>
      <c r="H7" s="104">
        <v>41513.004999999997</v>
      </c>
      <c r="I7" s="104">
        <v>41515.288999999997</v>
      </c>
      <c r="J7" s="104">
        <v>41499.461000000003</v>
      </c>
    </row>
    <row r="8" spans="1:15" x14ac:dyDescent="0.2">
      <c r="A8" s="99" t="s">
        <v>135</v>
      </c>
      <c r="B8" s="117">
        <v>2</v>
      </c>
      <c r="C8" s="104">
        <v>56919.523000000001</v>
      </c>
      <c r="D8" s="104">
        <v>54918.584000000003</v>
      </c>
      <c r="E8" s="104">
        <v>54046.646000000001</v>
      </c>
      <c r="F8" s="104">
        <v>53746.375999999997</v>
      </c>
      <c r="G8" s="104">
        <v>53106.944000000003</v>
      </c>
      <c r="H8" s="104">
        <v>53074.201999999997</v>
      </c>
      <c r="I8" s="104">
        <v>53070.201999999997</v>
      </c>
      <c r="J8" s="104">
        <v>53060.315999999999</v>
      </c>
    </row>
    <row r="9" spans="1:15" x14ac:dyDescent="0.2">
      <c r="A9" s="99" t="s">
        <v>135</v>
      </c>
      <c r="B9" s="117">
        <v>3</v>
      </c>
      <c r="C9" s="104">
        <v>54631.58</v>
      </c>
      <c r="D9" s="104">
        <v>51567.341999999997</v>
      </c>
      <c r="E9" s="104">
        <v>49713.735000000001</v>
      </c>
      <c r="F9" s="104">
        <v>47562.777000000002</v>
      </c>
      <c r="G9" s="104">
        <v>47361.052000000003</v>
      </c>
      <c r="H9" s="104">
        <v>47325.052000000003</v>
      </c>
      <c r="I9" s="104">
        <v>47311.978000000003</v>
      </c>
      <c r="J9" s="104">
        <v>47300.351999999999</v>
      </c>
    </row>
    <row r="10" spans="1:15" x14ac:dyDescent="0.2">
      <c r="A10" s="99" t="s">
        <v>135</v>
      </c>
      <c r="B10" s="117">
        <v>4</v>
      </c>
      <c r="C10" s="104">
        <v>57835.506999999998</v>
      </c>
      <c r="D10" s="104">
        <v>52965.101999999999</v>
      </c>
      <c r="E10" s="104">
        <v>48430.311000000002</v>
      </c>
      <c r="F10" s="104">
        <v>48123.928</v>
      </c>
      <c r="G10" s="104">
        <v>48493.928</v>
      </c>
      <c r="H10" s="104">
        <v>48437</v>
      </c>
      <c r="I10" s="104">
        <v>48430</v>
      </c>
      <c r="J10" s="104">
        <v>48423.546999999999</v>
      </c>
    </row>
    <row r="11" spans="1:15" x14ac:dyDescent="0.2">
      <c r="A11" s="99"/>
      <c r="B11" s="106"/>
      <c r="C11" s="104">
        <f>C7</f>
        <v>45254.955000000002</v>
      </c>
      <c r="D11" s="104">
        <f>D7+C8</f>
        <v>99814.535999999993</v>
      </c>
      <c r="E11" s="104">
        <f>E7+D8+C9</f>
        <v>151608.46899999998</v>
      </c>
      <c r="F11" s="104">
        <f>F7+E8+D9+C10</f>
        <v>205165.21299999999</v>
      </c>
      <c r="G11" s="104">
        <f>G7+F8+E9+D10</f>
        <v>197994.68</v>
      </c>
      <c r="H11" s="104">
        <f>H7+G8+F9+E10</f>
        <v>190613.03700000001</v>
      </c>
      <c r="I11" s="104">
        <f>I7+H8+G9+F10</f>
        <v>190074.47100000002</v>
      </c>
      <c r="J11" s="104">
        <f>SUM(J7:J10)</f>
        <v>190283.67600000001</v>
      </c>
      <c r="K11" s="1">
        <f>ULTPYAO!K18</f>
        <v>190284</v>
      </c>
      <c r="L11" s="1">
        <f>ROUND(AVERAGE(J11:K11),-2)</f>
        <v>190300</v>
      </c>
    </row>
    <row r="12" spans="1:15" x14ac:dyDescent="0.2">
      <c r="A12" s="99"/>
      <c r="B12" s="106"/>
      <c r="C12" s="107"/>
      <c r="D12" s="104"/>
      <c r="E12" s="104"/>
      <c r="F12" s="104"/>
      <c r="G12" s="104"/>
      <c r="H12" s="104"/>
      <c r="I12" s="104"/>
      <c r="J12" s="104"/>
      <c r="N12" s="20">
        <v>20201</v>
      </c>
      <c r="O12" s="20">
        <v>37669</v>
      </c>
    </row>
    <row r="13" spans="1:15" x14ac:dyDescent="0.2">
      <c r="A13" s="99" t="s">
        <v>137</v>
      </c>
      <c r="B13" s="117">
        <v>1</v>
      </c>
      <c r="C13" s="104">
        <v>43196.186999999998</v>
      </c>
      <c r="D13" s="104">
        <v>38976.298000000003</v>
      </c>
      <c r="E13" s="104">
        <v>38119.735000000001</v>
      </c>
      <c r="F13" s="104">
        <v>37945.735000000001</v>
      </c>
      <c r="G13" s="104">
        <v>37724.014999999999</v>
      </c>
      <c r="H13" s="104">
        <v>37688.014999999999</v>
      </c>
      <c r="I13" s="104">
        <v>37688.04</v>
      </c>
      <c r="J13" s="100">
        <v>37668.663</v>
      </c>
      <c r="N13" s="20">
        <v>20202</v>
      </c>
      <c r="O13" s="20">
        <v>43110</v>
      </c>
    </row>
    <row r="14" spans="1:15" x14ac:dyDescent="0.2">
      <c r="A14" s="99" t="s">
        <v>137</v>
      </c>
      <c r="B14" s="117">
        <v>2</v>
      </c>
      <c r="C14" s="101">
        <v>45048.612000000001</v>
      </c>
      <c r="D14" s="104">
        <v>43207.703000000001</v>
      </c>
      <c r="E14" s="101">
        <v>43377.703000000001</v>
      </c>
      <c r="F14" s="101">
        <v>43217.724000000002</v>
      </c>
      <c r="G14" s="101">
        <v>43163.724000000002</v>
      </c>
      <c r="H14" s="104">
        <v>43152.434999999998</v>
      </c>
      <c r="I14" s="104">
        <v>43143.246999999996</v>
      </c>
      <c r="J14" s="100">
        <v>43109.936999999998</v>
      </c>
      <c r="K14" s="101"/>
      <c r="N14" s="20">
        <v>20203</v>
      </c>
      <c r="O14" s="20">
        <v>42483</v>
      </c>
    </row>
    <row r="15" spans="1:15" x14ac:dyDescent="0.2">
      <c r="A15" s="99" t="s">
        <v>137</v>
      </c>
      <c r="B15" s="117">
        <v>3</v>
      </c>
      <c r="C15" s="104">
        <v>44984.031999999999</v>
      </c>
      <c r="D15" s="104">
        <v>43974.031999999999</v>
      </c>
      <c r="E15" s="101">
        <v>42598.228999999999</v>
      </c>
      <c r="F15" s="101">
        <v>42680.228999999999</v>
      </c>
      <c r="G15" s="101">
        <v>42517.23</v>
      </c>
      <c r="H15" s="104">
        <v>42493.361000000004</v>
      </c>
      <c r="I15" s="104">
        <v>42513.968000000008</v>
      </c>
      <c r="J15" s="100">
        <v>42482.800999999999</v>
      </c>
      <c r="N15" s="20">
        <v>20204</v>
      </c>
      <c r="O15" s="20">
        <v>49382</v>
      </c>
    </row>
    <row r="16" spans="1:15" x14ac:dyDescent="0.2">
      <c r="A16" s="99" t="s">
        <v>137</v>
      </c>
      <c r="B16" s="117">
        <v>4</v>
      </c>
      <c r="C16" s="104">
        <v>51972</v>
      </c>
      <c r="D16" s="101">
        <v>49570</v>
      </c>
      <c r="E16" s="101">
        <v>49741</v>
      </c>
      <c r="F16" s="101">
        <v>49527.673999999999</v>
      </c>
      <c r="G16" s="101">
        <v>49442.981999999996</v>
      </c>
      <c r="H16" s="104">
        <v>49311.883999999998</v>
      </c>
      <c r="I16" s="104">
        <v>49397.057999999997</v>
      </c>
      <c r="J16" s="100">
        <v>49382.196000000004</v>
      </c>
      <c r="N16" s="20">
        <v>20211</v>
      </c>
      <c r="O16" s="20">
        <v>43684</v>
      </c>
    </row>
    <row r="17" spans="1:15" x14ac:dyDescent="0.2">
      <c r="A17" s="99"/>
      <c r="B17" s="106"/>
      <c r="C17" s="101">
        <f>C13</f>
        <v>43196.186999999998</v>
      </c>
      <c r="D17" s="101">
        <f>D13+C14</f>
        <v>84024.91</v>
      </c>
      <c r="E17" s="101">
        <f>E13+D14+C15</f>
        <v>126311.47</v>
      </c>
      <c r="F17" s="104">
        <f>F13+E14+D15+C16</f>
        <v>177269.47</v>
      </c>
      <c r="G17" s="104">
        <f>G13+F14+E15+D16</f>
        <v>173109.96799999999</v>
      </c>
      <c r="H17" s="104">
        <f>H13+G14+F15+E16</f>
        <v>173272.96799999999</v>
      </c>
      <c r="I17" s="104">
        <f>I13+H14+G15+F16</f>
        <v>172885.37900000002</v>
      </c>
      <c r="J17" s="101">
        <f>SUM(J13:J16)</f>
        <v>172643.59700000001</v>
      </c>
      <c r="K17" s="1">
        <f>ULTPYAO!K19</f>
        <v>172643.59</v>
      </c>
      <c r="L17" s="1">
        <f>ROUND(AVERAGE(J17:K17),-2)</f>
        <v>172600</v>
      </c>
      <c r="N17" s="20">
        <v>20212</v>
      </c>
      <c r="O17" s="20">
        <v>48722</v>
      </c>
    </row>
    <row r="18" spans="1:15" x14ac:dyDescent="0.2">
      <c r="A18" s="99"/>
      <c r="B18" s="106"/>
      <c r="C18" s="107"/>
      <c r="D18" s="101"/>
      <c r="E18" s="101"/>
      <c r="F18" s="104"/>
      <c r="G18" s="104"/>
      <c r="H18" s="104"/>
      <c r="I18" s="104"/>
      <c r="J18" s="106"/>
      <c r="N18" s="20">
        <v>20213</v>
      </c>
      <c r="O18" s="20">
        <v>44098</v>
      </c>
    </row>
    <row r="19" spans="1:15" x14ac:dyDescent="0.2">
      <c r="A19" s="99" t="s">
        <v>141</v>
      </c>
      <c r="B19" s="117">
        <v>1</v>
      </c>
      <c r="C19" s="104">
        <v>43188.232000000004</v>
      </c>
      <c r="D19" s="104">
        <v>43855.603999999999</v>
      </c>
      <c r="E19" s="104">
        <v>43943.769</v>
      </c>
      <c r="F19" s="104">
        <v>43919.018000000004</v>
      </c>
      <c r="G19" s="104">
        <v>43724.407000000007</v>
      </c>
      <c r="H19" s="104">
        <v>43704.706000000006</v>
      </c>
      <c r="I19" s="104">
        <v>43707.991999999998</v>
      </c>
      <c r="J19" s="100">
        <v>43684</v>
      </c>
      <c r="N19" s="20">
        <v>20214</v>
      </c>
      <c r="O19" s="20">
        <v>46866</v>
      </c>
    </row>
    <row r="20" spans="1:15" x14ac:dyDescent="0.2">
      <c r="A20" s="99" t="s">
        <v>141</v>
      </c>
      <c r="B20" s="117">
        <v>2</v>
      </c>
      <c r="C20" s="104">
        <v>48151.658000000003</v>
      </c>
      <c r="D20" s="104">
        <v>49923</v>
      </c>
      <c r="E20" s="104">
        <v>49223.97</v>
      </c>
      <c r="F20" s="101">
        <v>48892</v>
      </c>
      <c r="G20" s="101">
        <v>48789.468999999997</v>
      </c>
      <c r="H20" s="104">
        <v>48767</v>
      </c>
      <c r="I20" s="104">
        <v>48731.093999999997</v>
      </c>
      <c r="J20" s="100">
        <v>48722</v>
      </c>
      <c r="N20" s="20">
        <v>20221</v>
      </c>
      <c r="O20" s="20">
        <v>44500</v>
      </c>
    </row>
    <row r="21" spans="1:15" x14ac:dyDescent="0.2">
      <c r="A21" s="99" t="s">
        <v>141</v>
      </c>
      <c r="B21" s="117">
        <v>3</v>
      </c>
      <c r="C21" s="104">
        <v>45538</v>
      </c>
      <c r="D21" s="104">
        <v>44657.864000000001</v>
      </c>
      <c r="E21" s="104">
        <v>44334.772000000004</v>
      </c>
      <c r="F21" s="101">
        <v>44085.255000000005</v>
      </c>
      <c r="G21" s="101">
        <v>44176</v>
      </c>
      <c r="H21" s="104">
        <v>44131</v>
      </c>
      <c r="I21" s="104">
        <v>44110.983</v>
      </c>
      <c r="J21" s="100">
        <v>44098</v>
      </c>
      <c r="N21" s="20">
        <v>20222</v>
      </c>
      <c r="O21" s="20">
        <v>47409</v>
      </c>
    </row>
    <row r="22" spans="1:15" x14ac:dyDescent="0.2">
      <c r="A22" s="99" t="s">
        <v>141</v>
      </c>
      <c r="B22" s="117">
        <v>4</v>
      </c>
      <c r="C22" s="101">
        <v>48808.23</v>
      </c>
      <c r="D22" s="101">
        <v>48044</v>
      </c>
      <c r="E22" s="101">
        <v>47334.103999999999</v>
      </c>
      <c r="F22" s="101">
        <v>47140.974999999999</v>
      </c>
      <c r="G22" s="101">
        <v>46941.116000000002</v>
      </c>
      <c r="H22" s="104">
        <v>46886.445</v>
      </c>
      <c r="I22" s="104">
        <v>46884</v>
      </c>
      <c r="J22" s="100">
        <v>46866</v>
      </c>
      <c r="N22" s="20">
        <v>20223</v>
      </c>
      <c r="O22" s="20">
        <v>48254</v>
      </c>
    </row>
    <row r="23" spans="1:15" x14ac:dyDescent="0.2">
      <c r="A23" s="99"/>
      <c r="B23" s="106"/>
      <c r="C23" s="101">
        <f>C19</f>
        <v>43188.232000000004</v>
      </c>
      <c r="D23" s="101">
        <f>D19+C20</f>
        <v>92007.262000000002</v>
      </c>
      <c r="E23" s="101">
        <f>E19+D20+C21</f>
        <v>139404.769</v>
      </c>
      <c r="F23" s="104">
        <f>F19+E20+D21+C22</f>
        <v>186609.08200000002</v>
      </c>
      <c r="G23" s="104">
        <f>G19+F20+E21+D22</f>
        <v>184995.179</v>
      </c>
      <c r="H23" s="104">
        <f>H19+G20+F21+E22</f>
        <v>183913.53399999999</v>
      </c>
      <c r="I23" s="104">
        <f>I19+H20+G21+F22</f>
        <v>183791.967</v>
      </c>
      <c r="J23" s="101">
        <f>SUM(J19:J22)</f>
        <v>183370</v>
      </c>
      <c r="K23" s="1">
        <f>ULTPYAO!K20</f>
        <v>183370</v>
      </c>
      <c r="L23" s="1">
        <f>ROUND(AVERAGE(J23:K23),-2)</f>
        <v>183400</v>
      </c>
      <c r="N23" s="20">
        <v>20224</v>
      </c>
      <c r="O23" s="20">
        <v>46182</v>
      </c>
    </row>
    <row r="24" spans="1:15" x14ac:dyDescent="0.2">
      <c r="A24" s="99"/>
      <c r="B24" s="106"/>
      <c r="C24" s="107">
        <f>C22/F23</f>
        <v>0.26155334711951478</v>
      </c>
      <c r="D24" s="101"/>
      <c r="E24" s="101"/>
      <c r="F24" s="104"/>
      <c r="G24" s="104"/>
      <c r="H24" s="104"/>
      <c r="I24" s="104"/>
      <c r="J24" s="101"/>
      <c r="N24" s="20">
        <v>20231</v>
      </c>
      <c r="O24" s="20">
        <v>48766</v>
      </c>
    </row>
    <row r="25" spans="1:15" ht="15" x14ac:dyDescent="0.25">
      <c r="A25" s="99" t="s">
        <v>144</v>
      </c>
      <c r="B25" s="117">
        <v>1</v>
      </c>
      <c r="C25" s="104">
        <v>45616.908000000003</v>
      </c>
      <c r="D25" s="104">
        <v>45251.241999999998</v>
      </c>
      <c r="E25" s="104">
        <v>44762</v>
      </c>
      <c r="F25" s="104">
        <v>44733</v>
      </c>
      <c r="G25" s="104">
        <v>44611.731</v>
      </c>
      <c r="H25" s="104">
        <v>44590</v>
      </c>
      <c r="I25" s="104">
        <v>44581</v>
      </c>
      <c r="J25" s="123">
        <v>44500</v>
      </c>
      <c r="N25" s="20">
        <v>20232</v>
      </c>
      <c r="O25" s="20">
        <v>52223</v>
      </c>
    </row>
    <row r="26" spans="1:15" ht="15" x14ac:dyDescent="0.25">
      <c r="A26" s="99" t="s">
        <v>144</v>
      </c>
      <c r="B26" s="117">
        <v>2</v>
      </c>
      <c r="C26" s="104">
        <v>48447.065999999999</v>
      </c>
      <c r="D26" s="104">
        <v>48746</v>
      </c>
      <c r="E26" s="104">
        <v>47544</v>
      </c>
      <c r="F26" s="101">
        <v>47413.423000000003</v>
      </c>
      <c r="G26" s="104">
        <v>47413</v>
      </c>
      <c r="H26" s="101">
        <v>47407</v>
      </c>
      <c r="I26" s="104">
        <v>47413</v>
      </c>
      <c r="J26" s="123">
        <v>47409</v>
      </c>
      <c r="N26" s="20">
        <v>20233</v>
      </c>
      <c r="O26" s="20">
        <v>53518</v>
      </c>
    </row>
    <row r="27" spans="1:15" ht="15" x14ac:dyDescent="0.25">
      <c r="A27" s="99" t="s">
        <v>144</v>
      </c>
      <c r="B27" s="117">
        <v>3</v>
      </c>
      <c r="C27" s="104">
        <v>48844</v>
      </c>
      <c r="D27" s="104">
        <v>49114</v>
      </c>
      <c r="E27" s="104">
        <v>48698.756999999998</v>
      </c>
      <c r="F27" s="101">
        <v>48520</v>
      </c>
      <c r="G27" s="101">
        <v>48323</v>
      </c>
      <c r="H27" s="104">
        <v>48295</v>
      </c>
      <c r="I27" s="104">
        <v>48291</v>
      </c>
      <c r="J27" s="123">
        <v>48254</v>
      </c>
      <c r="N27" s="20">
        <v>20234</v>
      </c>
      <c r="O27" s="20">
        <v>53989</v>
      </c>
    </row>
    <row r="28" spans="1:15" ht="15" x14ac:dyDescent="0.25">
      <c r="A28" s="99" t="s">
        <v>144</v>
      </c>
      <c r="B28" s="117">
        <v>4</v>
      </c>
      <c r="C28" s="104">
        <v>47972.006999999998</v>
      </c>
      <c r="D28" s="101">
        <v>47165.89</v>
      </c>
      <c r="E28" s="101">
        <v>46386</v>
      </c>
      <c r="F28" s="101">
        <v>46292</v>
      </c>
      <c r="G28" s="101">
        <v>46198</v>
      </c>
      <c r="H28" s="104">
        <v>46153</v>
      </c>
      <c r="I28" s="104">
        <v>46150</v>
      </c>
      <c r="J28" s="123">
        <v>46182</v>
      </c>
    </row>
    <row r="29" spans="1:15" x14ac:dyDescent="0.2">
      <c r="A29" s="99"/>
      <c r="B29" s="106"/>
      <c r="C29" s="101">
        <f>C25</f>
        <v>45616.908000000003</v>
      </c>
      <c r="D29" s="101">
        <f>D25+C26</f>
        <v>93698.30799999999</v>
      </c>
      <c r="E29" s="101">
        <f>E25+D26+C27</f>
        <v>142352</v>
      </c>
      <c r="F29" s="104">
        <f>F25+E26+D27+C28</f>
        <v>189363.00699999998</v>
      </c>
      <c r="G29" s="104">
        <f>G25+F26+E27+D28</f>
        <v>187889.80100000004</v>
      </c>
      <c r="H29" s="104">
        <f>H25+G26+F27+E28</f>
        <v>186909</v>
      </c>
      <c r="I29" s="104">
        <f>I25+H26+G27+F28</f>
        <v>186603</v>
      </c>
      <c r="J29" s="101">
        <f>SUM(J25:J28)</f>
        <v>186345</v>
      </c>
      <c r="K29" s="1">
        <f>ULTPYAO!K21</f>
        <v>186346</v>
      </c>
      <c r="L29" s="1">
        <f>ROUND(AVERAGE(J29:K29),-2)</f>
        <v>186300</v>
      </c>
    </row>
    <row r="30" spans="1:15" x14ac:dyDescent="0.2">
      <c r="A30" s="73"/>
      <c r="B30" s="72"/>
      <c r="C30" s="129">
        <f>C28/F29</f>
        <v>0.25333357216914071</v>
      </c>
      <c r="D30" s="104"/>
      <c r="E30" s="104"/>
      <c r="F30" s="104"/>
      <c r="G30" s="104"/>
      <c r="H30" s="104"/>
      <c r="I30" s="104"/>
      <c r="J30" s="101"/>
    </row>
    <row r="31" spans="1:15" x14ac:dyDescent="0.2">
      <c r="A31" s="99" t="s">
        <v>157</v>
      </c>
      <c r="B31" s="24">
        <v>1</v>
      </c>
      <c r="C31" s="104">
        <v>50775</v>
      </c>
      <c r="D31" s="104">
        <v>49746</v>
      </c>
      <c r="E31" s="104">
        <v>49021</v>
      </c>
      <c r="F31" s="104">
        <v>49012</v>
      </c>
      <c r="G31" s="104">
        <v>48843</v>
      </c>
      <c r="H31" s="104">
        <v>48796</v>
      </c>
      <c r="I31" s="104">
        <v>48784</v>
      </c>
      <c r="J31" s="100">
        <f>I31*I85</f>
        <v>48759.608</v>
      </c>
    </row>
    <row r="32" spans="1:15" x14ac:dyDescent="0.2">
      <c r="A32" s="99" t="s">
        <v>157</v>
      </c>
      <c r="B32" s="24">
        <v>2</v>
      </c>
      <c r="C32" s="104">
        <v>54608</v>
      </c>
      <c r="D32" s="104">
        <v>53500</v>
      </c>
      <c r="E32" s="104">
        <v>52514</v>
      </c>
      <c r="F32" s="101">
        <v>52185</v>
      </c>
      <c r="G32" s="101">
        <v>52358</v>
      </c>
      <c r="H32" s="104">
        <v>52231</v>
      </c>
      <c r="I32" s="104">
        <v>52223</v>
      </c>
      <c r="J32" s="100">
        <f>I32*I85</f>
        <v>52196.888500000001</v>
      </c>
    </row>
    <row r="33" spans="1:14" x14ac:dyDescent="0.2">
      <c r="A33" s="99" t="s">
        <v>157</v>
      </c>
      <c r="B33" s="24">
        <v>3</v>
      </c>
      <c r="C33" s="104">
        <v>54368</v>
      </c>
      <c r="D33" s="104">
        <v>54119</v>
      </c>
      <c r="E33" s="104">
        <v>53724</v>
      </c>
      <c r="F33" s="101">
        <v>53596</v>
      </c>
      <c r="G33" s="101">
        <v>53531</v>
      </c>
      <c r="H33" s="104">
        <v>53518</v>
      </c>
      <c r="I33" s="104"/>
      <c r="J33" s="100">
        <f>H33*H85</f>
        <v>53485.889199999998</v>
      </c>
    </row>
    <row r="34" spans="1:14" x14ac:dyDescent="0.2">
      <c r="A34" s="99" t="s">
        <v>157</v>
      </c>
      <c r="B34" s="24">
        <v>4</v>
      </c>
      <c r="C34" s="104">
        <v>55542.883000000002</v>
      </c>
      <c r="D34" s="104">
        <v>55269</v>
      </c>
      <c r="E34" s="104">
        <v>54598</v>
      </c>
      <c r="F34" s="101">
        <v>54071</v>
      </c>
      <c r="G34" s="101">
        <v>53989</v>
      </c>
      <c r="H34" s="104"/>
      <c r="I34" s="104"/>
      <c r="J34" s="100">
        <f>G34*G85</f>
        <v>53913.415400000005</v>
      </c>
    </row>
    <row r="35" spans="1:14" x14ac:dyDescent="0.2">
      <c r="A35" s="99"/>
      <c r="B35" s="72"/>
      <c r="C35" s="104">
        <f>C31</f>
        <v>50775</v>
      </c>
      <c r="D35" s="104">
        <f>D31+C32</f>
        <v>104354</v>
      </c>
      <c r="E35" s="104">
        <f>E31+D32+C33</f>
        <v>156889</v>
      </c>
      <c r="F35" s="104">
        <f>F31+E32+D33+C34</f>
        <v>211187.883</v>
      </c>
      <c r="G35" s="104">
        <f>G31+F32+E33+D34</f>
        <v>210021</v>
      </c>
      <c r="H35" s="104">
        <f>H31+G32+F33+E34</f>
        <v>209348</v>
      </c>
      <c r="I35" s="104">
        <f>I31+H32+G33+F34</f>
        <v>208617</v>
      </c>
      <c r="J35" s="101">
        <f>SUM(J31:J34)</f>
        <v>208355.80110000001</v>
      </c>
      <c r="K35" s="1">
        <f>ULTPYAO!K22</f>
        <v>208349.05349999998</v>
      </c>
      <c r="L35" s="1">
        <f>ROUND(AVERAGE(J35:K35),-2)</f>
        <v>208400</v>
      </c>
    </row>
    <row r="36" spans="1:14" x14ac:dyDescent="0.2">
      <c r="A36" s="73"/>
      <c r="B36" s="72"/>
      <c r="C36" s="129">
        <f>C34/F35</f>
        <v>0.26300222442212751</v>
      </c>
      <c r="D36" s="104"/>
      <c r="E36" s="104"/>
      <c r="F36" s="104"/>
      <c r="G36" s="104"/>
      <c r="H36" s="104"/>
      <c r="I36" s="104"/>
      <c r="J36" s="101"/>
    </row>
    <row r="37" spans="1:14" x14ac:dyDescent="0.2">
      <c r="A37" s="99" t="s">
        <v>163</v>
      </c>
      <c r="B37" s="24">
        <f>C37/C31</f>
        <v>1.1311866075824717</v>
      </c>
      <c r="C37" s="104">
        <v>57436</v>
      </c>
      <c r="D37" s="104">
        <v>57132</v>
      </c>
      <c r="E37" s="104">
        <v>56768</v>
      </c>
      <c r="F37" s="104">
        <v>56713</v>
      </c>
      <c r="G37" s="104"/>
      <c r="H37" s="104"/>
      <c r="I37" s="104"/>
      <c r="J37" s="100">
        <f>F37*F85</f>
        <v>56548.532299999999</v>
      </c>
    </row>
    <row r="38" spans="1:14" x14ac:dyDescent="0.2">
      <c r="A38" s="99" t="s">
        <v>163</v>
      </c>
      <c r="B38" s="24">
        <v>2</v>
      </c>
      <c r="C38" s="104">
        <v>64725</v>
      </c>
      <c r="D38" s="104">
        <v>64243</v>
      </c>
      <c r="E38" s="104">
        <v>63678</v>
      </c>
      <c r="F38" s="101"/>
      <c r="G38" s="101"/>
      <c r="H38" s="104"/>
      <c r="I38" s="104"/>
      <c r="J38" s="100">
        <f>E38*E85</f>
        <v>63289.564200000001</v>
      </c>
      <c r="M38" s="20">
        <v>20241</v>
      </c>
      <c r="N38" s="20">
        <v>56714</v>
      </c>
    </row>
    <row r="39" spans="1:14" x14ac:dyDescent="0.2">
      <c r="A39" s="99" t="s">
        <v>163</v>
      </c>
      <c r="B39" s="24">
        <v>3</v>
      </c>
      <c r="C39" s="104">
        <v>65360</v>
      </c>
      <c r="D39" s="104">
        <v>62694</v>
      </c>
      <c r="E39" s="104"/>
      <c r="F39" s="101"/>
      <c r="G39" s="101"/>
      <c r="H39" s="104"/>
      <c r="I39" s="104"/>
      <c r="J39" s="100">
        <f>D39*D85</f>
        <v>61515.352800000001</v>
      </c>
      <c r="M39" s="20">
        <v>20242</v>
      </c>
      <c r="N39" s="20">
        <v>63678</v>
      </c>
    </row>
    <row r="40" spans="1:14" ht="13.5" thickBot="1" x14ac:dyDescent="0.25">
      <c r="A40" s="99" t="s">
        <v>163</v>
      </c>
      <c r="B40" s="24">
        <v>4</v>
      </c>
      <c r="C40" s="101">
        <v>65955</v>
      </c>
      <c r="D40" s="101"/>
      <c r="E40" s="101"/>
      <c r="F40" s="101"/>
      <c r="G40" s="101"/>
      <c r="H40" s="104"/>
      <c r="I40" s="104"/>
      <c r="J40" s="100">
        <f>C40*C85</f>
        <v>64029.114000000001</v>
      </c>
      <c r="M40" s="20">
        <v>20243</v>
      </c>
      <c r="N40" s="20">
        <v>62694</v>
      </c>
    </row>
    <row r="41" spans="1:14" ht="13.5" thickBot="1" x14ac:dyDescent="0.25">
      <c r="A41" s="99"/>
      <c r="B41" s="72"/>
      <c r="C41" s="101">
        <f>C37</f>
        <v>57436</v>
      </c>
      <c r="D41" s="101">
        <f>D37+C38</f>
        <v>121857</v>
      </c>
      <c r="E41" s="101">
        <f>E37+D38+C39</f>
        <v>186371</v>
      </c>
      <c r="F41" s="104">
        <f>F37+E38+D39+C40</f>
        <v>249040</v>
      </c>
      <c r="G41" s="104">
        <f>G37+F38+E39+D40</f>
        <v>0</v>
      </c>
      <c r="H41" s="104">
        <f>H37+G38+F39+E40</f>
        <v>0</v>
      </c>
      <c r="I41" s="104">
        <f>I37+H38+G39+F40</f>
        <v>0</v>
      </c>
      <c r="J41" s="136">
        <f>SUM(J37:J40)</f>
        <v>245382.56330000001</v>
      </c>
      <c r="K41" s="1">
        <f>ULTPYAO!K23</f>
        <v>245179.88</v>
      </c>
      <c r="L41" s="1">
        <f>ROUND(AVERAGE(J41:K41),-2)</f>
        <v>245300</v>
      </c>
      <c r="M41" s="20">
        <v>20244</v>
      </c>
      <c r="N41" s="20">
        <v>65955</v>
      </c>
    </row>
    <row r="42" spans="1:14" x14ac:dyDescent="0.2">
      <c r="A42" s="73"/>
      <c r="B42" s="72"/>
      <c r="C42" s="107">
        <f>C40/F41</f>
        <v>0.26483697398008355</v>
      </c>
      <c r="D42" s="106"/>
      <c r="E42" s="106"/>
      <c r="F42" s="106"/>
      <c r="G42" s="104"/>
      <c r="H42" s="104"/>
      <c r="I42" s="104"/>
      <c r="J42" s="106"/>
      <c r="K42" s="40"/>
      <c r="L42" s="40"/>
    </row>
    <row r="43" spans="1:14" x14ac:dyDescent="0.2">
      <c r="A43" s="17"/>
      <c r="B43" s="18"/>
      <c r="C43" s="18"/>
      <c r="D43" s="18"/>
      <c r="E43" s="18"/>
      <c r="F43" s="10"/>
      <c r="G43" s="18"/>
      <c r="H43" s="18"/>
      <c r="I43" s="19" t="str">
        <f>I1</f>
        <v xml:space="preserve">DOCKET #:  </v>
      </c>
      <c r="J43" s="11" t="str">
        <f>J1</f>
        <v>LR 25.07</v>
      </c>
      <c r="K43" s="40"/>
      <c r="L43" s="40"/>
    </row>
    <row r="44" spans="1:14" x14ac:dyDescent="0.2">
      <c r="A44" s="17" t="s">
        <v>77</v>
      </c>
      <c r="B44" s="18"/>
      <c r="C44" s="18"/>
      <c r="D44" s="18"/>
      <c r="E44" s="18"/>
      <c r="F44" s="10"/>
      <c r="G44" s="18"/>
      <c r="H44" s="18"/>
      <c r="I44" s="19" t="str">
        <f>I2</f>
        <v xml:space="preserve">EXHIBIT #:  </v>
      </c>
      <c r="J44" s="78">
        <f>J2</f>
        <v>3</v>
      </c>
      <c r="K44" s="105">
        <f>J41/F41</f>
        <v>0.98531385841631869</v>
      </c>
      <c r="L44" s="96"/>
    </row>
    <row r="45" spans="1:14" x14ac:dyDescent="0.2">
      <c r="A45" s="17"/>
      <c r="B45" s="18"/>
      <c r="C45" s="18"/>
      <c r="D45" s="18"/>
      <c r="E45" s="18"/>
      <c r="F45" s="10"/>
      <c r="G45" s="18"/>
      <c r="H45" s="18"/>
      <c r="I45" s="19" t="str">
        <f>I3</f>
        <v xml:space="preserve">PAGE:  </v>
      </c>
      <c r="J45" s="103" t="str">
        <f>IF('ind or final'!A1=1,"",'ind or final'!D10)</f>
        <v/>
      </c>
      <c r="L45" s="96"/>
    </row>
    <row r="46" spans="1:14" x14ac:dyDescent="0.2">
      <c r="A46" s="21" t="s">
        <v>50</v>
      </c>
      <c r="B46" s="24"/>
      <c r="L46" s="96"/>
    </row>
    <row r="47" spans="1:14" x14ac:dyDescent="0.2">
      <c r="A47" s="22" t="s">
        <v>51</v>
      </c>
      <c r="B47" s="22" t="s">
        <v>52</v>
      </c>
      <c r="C47" s="22" t="s">
        <v>55</v>
      </c>
      <c r="D47" s="22" t="s">
        <v>56</v>
      </c>
      <c r="E47" s="22" t="s">
        <v>24</v>
      </c>
      <c r="F47" s="22" t="s">
        <v>25</v>
      </c>
      <c r="G47" s="22" t="s">
        <v>26</v>
      </c>
      <c r="H47" s="22" t="s">
        <v>27</v>
      </c>
      <c r="I47" s="22" t="s">
        <v>57</v>
      </c>
      <c r="L47" s="96"/>
    </row>
    <row r="48" spans="1:14" x14ac:dyDescent="0.2">
      <c r="A48" s="73"/>
      <c r="B48" s="24"/>
      <c r="C48" s="26"/>
      <c r="D48" s="26"/>
      <c r="H48" s="26"/>
      <c r="L48" s="96"/>
    </row>
    <row r="49" spans="1:12" x14ac:dyDescent="0.2">
      <c r="A49" s="99" t="s">
        <v>135</v>
      </c>
      <c r="B49" s="24">
        <v>1</v>
      </c>
      <c r="C49" s="67">
        <f t="shared" ref="C49:I52" si="0">D7/C7</f>
        <v>0.94785229595300668</v>
      </c>
      <c r="D49" s="67">
        <f t="shared" si="0"/>
        <v>0.98049404950640773</v>
      </c>
      <c r="E49" s="67">
        <f t="shared" si="0"/>
        <v>0.99185447440166696</v>
      </c>
      <c r="F49" s="67">
        <f t="shared" si="0"/>
        <v>0.99649410325383814</v>
      </c>
      <c r="G49" s="67">
        <f t="shared" si="0"/>
        <v>0.99864174347003298</v>
      </c>
      <c r="H49" s="67">
        <f t="shared" si="0"/>
        <v>1.0000550189031123</v>
      </c>
      <c r="I49" s="67">
        <f t="shared" si="0"/>
        <v>0.99961874286844077</v>
      </c>
    </row>
    <row r="50" spans="1:12" x14ac:dyDescent="0.2">
      <c r="A50" s="99" t="s">
        <v>135</v>
      </c>
      <c r="B50" s="24">
        <v>2</v>
      </c>
      <c r="C50" s="67">
        <f t="shared" si="0"/>
        <v>0.96484617413255558</v>
      </c>
      <c r="D50" s="67">
        <f t="shared" si="0"/>
        <v>0.98412307935688947</v>
      </c>
      <c r="E50" s="67">
        <f t="shared" si="0"/>
        <v>0.99444424358913952</v>
      </c>
      <c r="F50" s="67">
        <f t="shared" si="0"/>
        <v>0.9881027885489434</v>
      </c>
      <c r="G50" s="67">
        <f t="shared" si="0"/>
        <v>0.99938347045538889</v>
      </c>
      <c r="H50" s="67">
        <f t="shared" si="0"/>
        <v>0.9999246338173865</v>
      </c>
      <c r="I50" s="67">
        <f t="shared" si="0"/>
        <v>0.99981371844034062</v>
      </c>
    </row>
    <row r="51" spans="1:12" x14ac:dyDescent="0.2">
      <c r="A51" s="99" t="s">
        <v>135</v>
      </c>
      <c r="B51" s="24">
        <v>3</v>
      </c>
      <c r="C51" s="67">
        <f t="shared" si="0"/>
        <v>0.94391086620595621</v>
      </c>
      <c r="D51" s="67">
        <f t="shared" si="0"/>
        <v>0.96405463364778432</v>
      </c>
      <c r="E51" s="67">
        <f t="shared" si="0"/>
        <v>0.95673312415572886</v>
      </c>
      <c r="F51" s="67">
        <f t="shared" si="0"/>
        <v>0.9957587632025775</v>
      </c>
      <c r="G51" s="67">
        <f t="shared" si="0"/>
        <v>0.99923988174924827</v>
      </c>
      <c r="H51" s="67">
        <f t="shared" si="0"/>
        <v>0.9997237403986371</v>
      </c>
      <c r="I51" s="67">
        <f t="shared" si="0"/>
        <v>0.99975426941566459</v>
      </c>
    </row>
    <row r="52" spans="1:12" x14ac:dyDescent="0.2">
      <c r="A52" s="99" t="s">
        <v>135</v>
      </c>
      <c r="B52" s="24">
        <v>4</v>
      </c>
      <c r="C52" s="67">
        <f t="shared" si="0"/>
        <v>0.91578866940684034</v>
      </c>
      <c r="D52" s="67">
        <f t="shared" si="0"/>
        <v>0.91438152993644761</v>
      </c>
      <c r="E52" s="67">
        <f t="shared" si="0"/>
        <v>0.99367373461632325</v>
      </c>
      <c r="F52" s="67">
        <f t="shared" si="0"/>
        <v>1.0076884829517656</v>
      </c>
      <c r="G52" s="67">
        <f t="shared" si="0"/>
        <v>0.99882607983415983</v>
      </c>
      <c r="H52" s="67">
        <f t="shared" si="0"/>
        <v>0.99985548237917299</v>
      </c>
      <c r="I52" s="67">
        <f t="shared" si="0"/>
        <v>0.99986675614288656</v>
      </c>
      <c r="K52" s="40"/>
      <c r="L52" s="40"/>
    </row>
    <row r="53" spans="1:12" x14ac:dyDescent="0.2">
      <c r="A53" s="99"/>
      <c r="B53" s="24"/>
      <c r="C53" s="67"/>
      <c r="D53" s="67"/>
      <c r="E53" s="67"/>
      <c r="F53" s="67"/>
      <c r="K53" s="40"/>
      <c r="L53" s="40"/>
    </row>
    <row r="54" spans="1:12" x14ac:dyDescent="0.2">
      <c r="A54" s="99" t="s">
        <v>137</v>
      </c>
      <c r="B54" s="24">
        <v>1</v>
      </c>
      <c r="C54" s="67">
        <f t="shared" ref="C54:I57" si="1">D13/C13</f>
        <v>0.90230876165065232</v>
      </c>
      <c r="D54" s="67">
        <f t="shared" si="1"/>
        <v>0.97802349007081169</v>
      </c>
      <c r="E54" s="67">
        <f t="shared" si="1"/>
        <v>0.99543543521485656</v>
      </c>
      <c r="F54" s="67">
        <f t="shared" si="1"/>
        <v>0.99415691908458226</v>
      </c>
      <c r="G54" s="67">
        <f t="shared" si="1"/>
        <v>0.99904570072936294</v>
      </c>
      <c r="H54" s="67">
        <f t="shared" si="1"/>
        <v>1.0000006633408525</v>
      </c>
      <c r="I54" s="67">
        <f t="shared" si="1"/>
        <v>0.99948585811307777</v>
      </c>
      <c r="K54" s="40"/>
      <c r="L54" s="40"/>
    </row>
    <row r="55" spans="1:12" x14ac:dyDescent="0.2">
      <c r="A55" s="99" t="s">
        <v>137</v>
      </c>
      <c r="B55" s="24">
        <v>2</v>
      </c>
      <c r="C55" s="67">
        <f t="shared" si="1"/>
        <v>0.95913505614778982</v>
      </c>
      <c r="D55" s="67">
        <f t="shared" si="1"/>
        <v>1.003934483626681</v>
      </c>
      <c r="E55" s="67">
        <f t="shared" si="1"/>
        <v>0.99631195317096433</v>
      </c>
      <c r="F55" s="67">
        <f t="shared" si="1"/>
        <v>0.99875051263689874</v>
      </c>
      <c r="G55" s="67">
        <f t="shared" si="1"/>
        <v>0.99973846093539087</v>
      </c>
      <c r="H55" s="67">
        <f t="shared" si="1"/>
        <v>0.99978708038144304</v>
      </c>
      <c r="I55" s="67">
        <f t="shared" si="1"/>
        <v>0.99922792088411894</v>
      </c>
      <c r="K55" s="40"/>
      <c r="L55" s="40"/>
    </row>
    <row r="56" spans="1:12" x14ac:dyDescent="0.2">
      <c r="A56" s="99" t="s">
        <v>137</v>
      </c>
      <c r="B56" s="24">
        <v>3</v>
      </c>
      <c r="C56" s="67">
        <f t="shared" si="1"/>
        <v>0.97754758844204981</v>
      </c>
      <c r="D56" s="67">
        <f t="shared" si="1"/>
        <v>0.96871328514974475</v>
      </c>
      <c r="E56" s="67">
        <f t="shared" si="1"/>
        <v>1.0019249626551376</v>
      </c>
      <c r="F56" s="67">
        <f t="shared" si="1"/>
        <v>0.99618092489616217</v>
      </c>
      <c r="G56" s="67">
        <f t="shared" si="1"/>
        <v>0.99943860406710416</v>
      </c>
      <c r="H56" s="67">
        <f t="shared" si="1"/>
        <v>1.0004849463425594</v>
      </c>
      <c r="I56" s="67">
        <f t="shared" si="1"/>
        <v>0.99926689976339056</v>
      </c>
      <c r="K56" s="40"/>
      <c r="L56" s="40"/>
    </row>
    <row r="57" spans="1:12" x14ac:dyDescent="0.2">
      <c r="A57" s="99" t="s">
        <v>137</v>
      </c>
      <c r="B57" s="24">
        <v>4</v>
      </c>
      <c r="C57" s="67">
        <f t="shared" si="1"/>
        <v>0.95378280612637578</v>
      </c>
      <c r="D57" s="67">
        <f t="shared" si="1"/>
        <v>1.0034496671373814</v>
      </c>
      <c r="E57" s="67">
        <f t="shared" si="1"/>
        <v>0.99571126434932955</v>
      </c>
      <c r="F57" s="67">
        <f t="shared" si="1"/>
        <v>0.9982900065123187</v>
      </c>
      <c r="G57" s="67">
        <f t="shared" si="1"/>
        <v>0.99734850135050512</v>
      </c>
      <c r="H57" s="67">
        <f t="shared" si="1"/>
        <v>1.0017272509807169</v>
      </c>
      <c r="I57" s="67">
        <f t="shared" si="1"/>
        <v>0.99969913187947357</v>
      </c>
      <c r="K57" s="40"/>
      <c r="L57" s="40"/>
    </row>
    <row r="58" spans="1:12" x14ac:dyDescent="0.2">
      <c r="A58" s="99"/>
      <c r="B58" s="24"/>
      <c r="C58" s="67"/>
      <c r="D58" s="67"/>
      <c r="E58" s="67"/>
      <c r="F58" s="67"/>
      <c r="K58" s="40"/>
      <c r="L58" s="40"/>
    </row>
    <row r="59" spans="1:12" x14ac:dyDescent="0.2">
      <c r="A59" s="99" t="s">
        <v>141</v>
      </c>
      <c r="B59" s="24">
        <v>1</v>
      </c>
      <c r="C59" s="67">
        <f t="shared" ref="C59:I62" si="2">D19/C19</f>
        <v>1.015452635338256</v>
      </c>
      <c r="D59" s="67">
        <f t="shared" si="2"/>
        <v>1.0020103474119295</v>
      </c>
      <c r="E59" s="67">
        <f t="shared" si="2"/>
        <v>0.99943675746156424</v>
      </c>
      <c r="F59" s="67">
        <f t="shared" si="2"/>
        <v>0.99556886722740479</v>
      </c>
      <c r="G59" s="67">
        <f t="shared" si="2"/>
        <v>0.99954942785158873</v>
      </c>
      <c r="H59" s="67">
        <f t="shared" si="2"/>
        <v>1.0000751864112756</v>
      </c>
      <c r="I59" s="67">
        <f t="shared" si="2"/>
        <v>0.99945108436919272</v>
      </c>
      <c r="K59" s="40"/>
      <c r="L59" s="40"/>
    </row>
    <row r="60" spans="1:12" x14ac:dyDescent="0.2">
      <c r="A60" s="99" t="s">
        <v>141</v>
      </c>
      <c r="B60" s="24">
        <v>2</v>
      </c>
      <c r="C60" s="67">
        <f t="shared" si="2"/>
        <v>1.0367867291298671</v>
      </c>
      <c r="D60" s="67">
        <f t="shared" si="2"/>
        <v>0.98599783666846952</v>
      </c>
      <c r="E60" s="67">
        <f t="shared" si="2"/>
        <v>0.99325592795542494</v>
      </c>
      <c r="F60" s="67">
        <f t="shared" si="2"/>
        <v>0.99790290845128027</v>
      </c>
      <c r="G60" s="67">
        <f t="shared" si="2"/>
        <v>0.9995394702901973</v>
      </c>
      <c r="H60" s="67">
        <f t="shared" si="2"/>
        <v>0.99926372341952541</v>
      </c>
      <c r="I60" s="67">
        <f t="shared" si="2"/>
        <v>0.99981338403771525</v>
      </c>
      <c r="K60" s="40"/>
      <c r="L60" s="40"/>
    </row>
    <row r="61" spans="1:12" x14ac:dyDescent="0.2">
      <c r="A61" s="99" t="s">
        <v>141</v>
      </c>
      <c r="B61" s="24">
        <v>3</v>
      </c>
      <c r="C61" s="67">
        <f t="shared" si="2"/>
        <v>0.980672493302297</v>
      </c>
      <c r="D61" s="67">
        <f t="shared" si="2"/>
        <v>0.99276517121374197</v>
      </c>
      <c r="E61" s="67">
        <f t="shared" si="2"/>
        <v>0.99437197962808965</v>
      </c>
      <c r="F61" s="67">
        <f t="shared" si="2"/>
        <v>1.0020583979836342</v>
      </c>
      <c r="G61" s="67">
        <f t="shared" si="2"/>
        <v>0.99898134733792099</v>
      </c>
      <c r="H61" s="67">
        <f t="shared" si="2"/>
        <v>0.99954641861729854</v>
      </c>
      <c r="I61" s="67">
        <f t="shared" si="2"/>
        <v>0.99970567420816714</v>
      </c>
      <c r="K61" s="40"/>
      <c r="L61" s="40"/>
    </row>
    <row r="62" spans="1:12" x14ac:dyDescent="0.2">
      <c r="A62" s="99" t="s">
        <v>141</v>
      </c>
      <c r="B62" s="24">
        <v>4</v>
      </c>
      <c r="C62" s="67">
        <f t="shared" si="2"/>
        <v>0.9843421898315099</v>
      </c>
      <c r="D62" s="67">
        <f t="shared" si="2"/>
        <v>0.98522404462575974</v>
      </c>
      <c r="E62" s="67">
        <f t="shared" si="2"/>
        <v>0.99591987629046486</v>
      </c>
      <c r="F62" s="67">
        <f t="shared" si="2"/>
        <v>0.99576039740374489</v>
      </c>
      <c r="G62" s="67">
        <f t="shared" si="2"/>
        <v>0.99883532807358044</v>
      </c>
      <c r="H62" s="67">
        <f t="shared" si="2"/>
        <v>0.99994785273227693</v>
      </c>
      <c r="I62" s="67">
        <f t="shared" si="2"/>
        <v>0.99961607371384698</v>
      </c>
      <c r="K62" s="40"/>
      <c r="L62" s="40"/>
    </row>
    <row r="63" spans="1:12" x14ac:dyDescent="0.2">
      <c r="A63" s="99"/>
      <c r="B63" s="24"/>
      <c r="C63" s="67"/>
      <c r="D63" s="67"/>
      <c r="E63" s="67"/>
      <c r="F63" s="67"/>
    </row>
    <row r="64" spans="1:12" x14ac:dyDescent="0.2">
      <c r="A64" s="99" t="s">
        <v>144</v>
      </c>
      <c r="B64" s="24">
        <v>1</v>
      </c>
      <c r="C64" s="67">
        <f t="shared" ref="C64:I67" si="3">D25/C25</f>
        <v>0.99198398102738561</v>
      </c>
      <c r="D64" s="67">
        <f t="shared" si="3"/>
        <v>0.98918831885321512</v>
      </c>
      <c r="E64" s="67">
        <f t="shared" si="3"/>
        <v>0.99935212903802328</v>
      </c>
      <c r="F64" s="67">
        <f t="shared" si="3"/>
        <v>0.99728904835356447</v>
      </c>
      <c r="G64" s="67">
        <f t="shared" si="3"/>
        <v>0.99951288597162935</v>
      </c>
      <c r="H64" s="67">
        <f t="shared" si="3"/>
        <v>0.99979816102265084</v>
      </c>
      <c r="I64" s="67">
        <f t="shared" si="3"/>
        <v>0.99818308247908305</v>
      </c>
    </row>
    <row r="65" spans="1:11" x14ac:dyDescent="0.2">
      <c r="A65" s="99" t="s">
        <v>144</v>
      </c>
      <c r="B65" s="24">
        <v>2</v>
      </c>
      <c r="C65" s="67">
        <f t="shared" si="3"/>
        <v>1.0061703220583058</v>
      </c>
      <c r="D65" s="67">
        <f t="shared" si="3"/>
        <v>0.97534156648750669</v>
      </c>
      <c r="E65" s="67">
        <f t="shared" si="3"/>
        <v>0.99725355460205289</v>
      </c>
      <c r="F65" s="67">
        <f t="shared" si="3"/>
        <v>0.9999910784758147</v>
      </c>
      <c r="G65" s="67">
        <f t="shared" si="3"/>
        <v>0.99987345242865877</v>
      </c>
      <c r="H65" s="67">
        <f t="shared" si="3"/>
        <v>1.0001265635876557</v>
      </c>
      <c r="I65" s="67">
        <f t="shared" si="3"/>
        <v>0.99991563495243918</v>
      </c>
    </row>
    <row r="66" spans="1:11" x14ac:dyDescent="0.2">
      <c r="A66" s="99" t="s">
        <v>144</v>
      </c>
      <c r="B66" s="24">
        <v>3</v>
      </c>
      <c r="C66" s="67">
        <f t="shared" si="3"/>
        <v>1.0055278028007535</v>
      </c>
      <c r="D66" s="67">
        <f t="shared" si="3"/>
        <v>0.99154532312578891</v>
      </c>
      <c r="E66" s="67">
        <f t="shared" si="3"/>
        <v>0.99632933136260549</v>
      </c>
      <c r="F66" s="67">
        <f t="shared" si="3"/>
        <v>0.99593981863149217</v>
      </c>
      <c r="G66" s="67">
        <f t="shared" si="3"/>
        <v>0.99942056577613148</v>
      </c>
      <c r="H66" s="67">
        <f t="shared" si="3"/>
        <v>0.99991717569106531</v>
      </c>
      <c r="I66" s="67">
        <f t="shared" si="3"/>
        <v>0.99923381168333647</v>
      </c>
    </row>
    <row r="67" spans="1:11" x14ac:dyDescent="0.2">
      <c r="A67" s="99" t="s">
        <v>144</v>
      </c>
      <c r="B67" s="24">
        <v>4</v>
      </c>
      <c r="C67" s="67">
        <f t="shared" si="3"/>
        <v>0.98319609600657321</v>
      </c>
      <c r="D67" s="67">
        <f t="shared" si="3"/>
        <v>0.98346495740883932</v>
      </c>
      <c r="E67" s="67">
        <f t="shared" si="3"/>
        <v>0.99797352649506321</v>
      </c>
      <c r="F67" s="67">
        <f t="shared" si="3"/>
        <v>0.99796941156139285</v>
      </c>
      <c r="G67" s="67">
        <f t="shared" si="3"/>
        <v>0.99902593185852206</v>
      </c>
      <c r="H67" s="67">
        <f t="shared" si="3"/>
        <v>0.99993499880831149</v>
      </c>
      <c r="I67" s="67">
        <f t="shared" si="3"/>
        <v>1.0006933911159264</v>
      </c>
    </row>
    <row r="68" spans="1:11" x14ac:dyDescent="0.2">
      <c r="A68" s="99"/>
      <c r="B68" s="24"/>
      <c r="C68" s="67"/>
      <c r="D68" s="67"/>
      <c r="E68" s="67"/>
      <c r="F68" s="67"/>
    </row>
    <row r="69" spans="1:11" x14ac:dyDescent="0.2">
      <c r="A69" s="99" t="s">
        <v>157</v>
      </c>
      <c r="B69" s="24">
        <v>1</v>
      </c>
      <c r="C69" s="67">
        <f t="shared" ref="C69:G69" si="4">D31/C31</f>
        <v>0.97973412112259972</v>
      </c>
      <c r="D69" s="67">
        <f t="shared" si="4"/>
        <v>0.98542596389659465</v>
      </c>
      <c r="E69" s="67">
        <f t="shared" si="4"/>
        <v>0.99981640521409187</v>
      </c>
      <c r="F69" s="67">
        <f t="shared" si="4"/>
        <v>0.9965518648494246</v>
      </c>
      <c r="G69" s="67">
        <f t="shared" si="4"/>
        <v>0.99903773314497468</v>
      </c>
      <c r="H69" s="67">
        <f>I31/H31</f>
        <v>0.99975407820313145</v>
      </c>
    </row>
    <row r="70" spans="1:11" x14ac:dyDescent="0.2">
      <c r="A70" s="99" t="s">
        <v>157</v>
      </c>
      <c r="B70" s="24">
        <v>2</v>
      </c>
      <c r="C70" s="67">
        <f t="shared" ref="C70:G71" si="5">D32/C32</f>
        <v>0.97970993261060646</v>
      </c>
      <c r="D70" s="67">
        <f t="shared" si="5"/>
        <v>0.98157009345794388</v>
      </c>
      <c r="E70" s="67">
        <f t="shared" si="5"/>
        <v>0.99373500399893366</v>
      </c>
      <c r="F70" s="67">
        <f t="shared" si="5"/>
        <v>1.0033151288684488</v>
      </c>
      <c r="G70" s="67">
        <f t="shared" si="5"/>
        <v>0.99757439168799422</v>
      </c>
      <c r="H70" s="67">
        <f>I32/H32</f>
        <v>0.99984683425551879</v>
      </c>
    </row>
    <row r="71" spans="1:11" x14ac:dyDescent="0.2">
      <c r="A71" s="99" t="s">
        <v>157</v>
      </c>
      <c r="B71" s="24">
        <v>3</v>
      </c>
      <c r="C71" s="135">
        <f t="shared" si="5"/>
        <v>0.99542010005885817</v>
      </c>
      <c r="D71" s="67">
        <f t="shared" si="5"/>
        <v>0.99270126942478609</v>
      </c>
      <c r="E71" s="67">
        <f t="shared" si="5"/>
        <v>0.99761745216290676</v>
      </c>
      <c r="F71" s="67">
        <f t="shared" si="5"/>
        <v>0.99878722292708411</v>
      </c>
      <c r="G71" s="67">
        <f t="shared" si="5"/>
        <v>0.99975715006258059</v>
      </c>
    </row>
    <row r="72" spans="1:11" x14ac:dyDescent="0.2">
      <c r="A72" s="99" t="s">
        <v>157</v>
      </c>
      <c r="B72" s="24">
        <v>4</v>
      </c>
      <c r="C72" s="67">
        <f>D34/C34</f>
        <v>0.99506898120502674</v>
      </c>
      <c r="D72" s="67">
        <f>E34/D34</f>
        <v>0.98785937867520668</v>
      </c>
      <c r="E72" s="67">
        <f>F34/E34</f>
        <v>0.99034763178138396</v>
      </c>
      <c r="F72" s="67">
        <f>G34/F34</f>
        <v>0.99848347543045257</v>
      </c>
    </row>
    <row r="73" spans="1:11" x14ac:dyDescent="0.2">
      <c r="A73" s="99"/>
      <c r="B73" s="24"/>
      <c r="C73" s="67"/>
      <c r="D73" s="67"/>
      <c r="E73" s="115"/>
      <c r="F73" s="67"/>
    </row>
    <row r="74" spans="1:11" x14ac:dyDescent="0.2">
      <c r="A74" s="99" t="s">
        <v>163</v>
      </c>
      <c r="B74" s="24">
        <v>1</v>
      </c>
      <c r="C74" s="67">
        <f>D37/C37</f>
        <v>0.99470715230865658</v>
      </c>
      <c r="D74" s="67">
        <f>E37/D37</f>
        <v>0.99362878946999933</v>
      </c>
      <c r="E74" s="67">
        <f>F37/E37</f>
        <v>0.99903114430665163</v>
      </c>
      <c r="F74" s="67"/>
      <c r="G74" s="67"/>
    </row>
    <row r="75" spans="1:11" x14ac:dyDescent="0.2">
      <c r="A75" s="99" t="s">
        <v>163</v>
      </c>
      <c r="B75" s="24">
        <v>2</v>
      </c>
      <c r="C75" s="67">
        <f>D38/C38</f>
        <v>0.9925531093086134</v>
      </c>
      <c r="D75" s="67">
        <f t="shared" ref="D75" si="6">E38/D38</f>
        <v>0.99120526749996107</v>
      </c>
      <c r="E75" s="67"/>
      <c r="F75" s="67"/>
    </row>
    <row r="76" spans="1:11" x14ac:dyDescent="0.2">
      <c r="A76" s="99" t="s">
        <v>163</v>
      </c>
      <c r="B76" s="24">
        <v>3</v>
      </c>
      <c r="C76" s="67">
        <f>D39/C39</f>
        <v>0.95921052631578951</v>
      </c>
      <c r="D76" s="67"/>
      <c r="E76" s="67"/>
      <c r="F76" s="67"/>
    </row>
    <row r="77" spans="1:11" x14ac:dyDescent="0.2">
      <c r="A77" s="99" t="s">
        <v>163</v>
      </c>
      <c r="B77" s="24">
        <v>4</v>
      </c>
      <c r="C77" s="67"/>
      <c r="D77" s="67"/>
      <c r="E77" s="115"/>
      <c r="F77" s="67"/>
    </row>
    <row r="78" spans="1:11" x14ac:dyDescent="0.2">
      <c r="A78" s="99"/>
      <c r="B78" s="24"/>
      <c r="C78" s="67"/>
      <c r="D78" s="67"/>
      <c r="E78" s="67"/>
      <c r="F78" s="67"/>
    </row>
    <row r="79" spans="1:11" x14ac:dyDescent="0.2">
      <c r="A79" s="99"/>
      <c r="B79" s="24"/>
      <c r="C79" s="22" t="s">
        <v>55</v>
      </c>
      <c r="D79" s="22" t="s">
        <v>56</v>
      </c>
      <c r="E79" s="22" t="s">
        <v>24</v>
      </c>
      <c r="F79" s="22" t="s">
        <v>25</v>
      </c>
      <c r="G79" s="22" t="s">
        <v>26</v>
      </c>
      <c r="H79" s="22" t="s">
        <v>27</v>
      </c>
      <c r="I79" s="22" t="s">
        <v>57</v>
      </c>
    </row>
    <row r="80" spans="1:11" s="71" customFormat="1" x14ac:dyDescent="0.2">
      <c r="A80" s="70" t="s">
        <v>58</v>
      </c>
      <c r="C80" s="69">
        <f>ROUND(AVERAGE(C48:C77),4)</f>
        <v>0.9768</v>
      </c>
      <c r="D80" s="69">
        <f t="shared" ref="D80:I80" si="7">ROUND(AVERAGE(D48:D77),4)</f>
        <v>0.98340000000000005</v>
      </c>
      <c r="E80" s="69">
        <f t="shared" si="7"/>
        <v>0.99429999999999996</v>
      </c>
      <c r="F80" s="69">
        <f t="shared" si="7"/>
        <v>0.99780000000000002</v>
      </c>
      <c r="G80" s="69">
        <f t="shared" si="7"/>
        <v>0.99909999999999999</v>
      </c>
      <c r="H80" s="69">
        <f t="shared" si="7"/>
        <v>1</v>
      </c>
      <c r="I80" s="69">
        <f t="shared" si="7"/>
        <v>0.99960000000000004</v>
      </c>
      <c r="K80" s="66"/>
    </row>
    <row r="81" spans="1:12" x14ac:dyDescent="0.2">
      <c r="A81" s="27" t="s">
        <v>59</v>
      </c>
      <c r="C81" s="26">
        <f>AVERAGE(C64:C77)</f>
        <v>0.98938928407483351</v>
      </c>
      <c r="D81" s="26">
        <f>AVERAGE(D64:D77)</f>
        <v>0.98719309282998413</v>
      </c>
      <c r="E81" s="26">
        <f t="shared" ref="E81:I81" si="8">AVERAGE(E64:E77)</f>
        <v>0.99682846432907946</v>
      </c>
      <c r="F81" s="26">
        <f t="shared" si="8"/>
        <v>0.99854088113720929</v>
      </c>
      <c r="G81" s="26">
        <f t="shared" si="8"/>
        <v>0.99917173013292726</v>
      </c>
      <c r="H81" s="26">
        <f t="shared" si="8"/>
        <v>0.99989630192805556</v>
      </c>
      <c r="I81" s="26">
        <f t="shared" si="8"/>
        <v>0.99950648005769627</v>
      </c>
    </row>
    <row r="82" spans="1:12" x14ac:dyDescent="0.2">
      <c r="A82" s="27"/>
      <c r="E82" s="26"/>
      <c r="F82" s="26"/>
      <c r="G82" s="26"/>
      <c r="H82" s="26"/>
      <c r="I82" s="26"/>
    </row>
    <row r="84" spans="1:12" x14ac:dyDescent="0.2">
      <c r="C84" s="27" t="s">
        <v>60</v>
      </c>
      <c r="D84" s="27" t="s">
        <v>61</v>
      </c>
      <c r="E84" s="27" t="s">
        <v>62</v>
      </c>
      <c r="F84" s="27" t="s">
        <v>63</v>
      </c>
      <c r="G84" s="27" t="s">
        <v>64</v>
      </c>
      <c r="H84" s="27" t="s">
        <v>65</v>
      </c>
      <c r="I84" s="27" t="s">
        <v>57</v>
      </c>
    </row>
    <row r="85" spans="1:12" x14ac:dyDescent="0.2">
      <c r="A85" s="27" t="s">
        <v>59</v>
      </c>
      <c r="C85" s="26">
        <f t="shared" ref="C85:H85" si="9">ROUND(C81*D85,4)</f>
        <v>0.9708</v>
      </c>
      <c r="D85" s="26">
        <f t="shared" si="9"/>
        <v>0.98119999999999996</v>
      </c>
      <c r="E85" s="26">
        <f t="shared" si="9"/>
        <v>0.99390000000000001</v>
      </c>
      <c r="F85" s="26">
        <f t="shared" si="9"/>
        <v>0.99709999999999999</v>
      </c>
      <c r="G85" s="26">
        <f t="shared" si="9"/>
        <v>0.99860000000000004</v>
      </c>
      <c r="H85" s="26">
        <f t="shared" si="9"/>
        <v>0.99939999999999996</v>
      </c>
      <c r="I85" s="26">
        <f>ROUND(I81,4)</f>
        <v>0.99950000000000006</v>
      </c>
    </row>
    <row r="87" spans="1:12" x14ac:dyDescent="0.2">
      <c r="C87" s="24"/>
      <c r="D87" s="26"/>
      <c r="E87" s="26"/>
      <c r="F87" s="26"/>
      <c r="G87" s="26"/>
      <c r="H87" s="26"/>
      <c r="I87" s="26"/>
      <c r="J87" s="26"/>
      <c r="K87" s="97"/>
      <c r="L87" s="97"/>
    </row>
    <row r="114" ht="12" customHeight="1" x14ac:dyDescent="0.2"/>
  </sheetData>
  <phoneticPr fontId="0" type="noConversion"/>
  <printOptions horizontalCentered="1" gridLinesSet="0"/>
  <pageMargins left="0" right="0" top="0.5" bottom="1" header="0" footer="0.25"/>
  <pageSetup scale="73" orientation="landscape" r:id="rId1"/>
  <headerFooter alignWithMargins="0">
    <oddFooter>&amp;R&amp;8&amp;D
n:\lrc\ind00\ultimate\&amp;F&amp;A</oddFooter>
  </headerFooter>
  <rowBreaks count="1" manualBreakCount="1">
    <brk id="42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C3:V61"/>
  <sheetViews>
    <sheetView topLeftCell="A26" workbookViewId="0">
      <selection activeCell="G21" sqref="G21"/>
    </sheetView>
  </sheetViews>
  <sheetFormatPr defaultRowHeight="12" x14ac:dyDescent="0.15"/>
  <cols>
    <col min="5" max="5" width="16.875" bestFit="1" customWidth="1"/>
    <col min="10" max="10" width="16.875" bestFit="1" customWidth="1"/>
    <col min="13" max="13" width="16.875" bestFit="1" customWidth="1"/>
    <col min="19" max="19" width="11.125" bestFit="1" customWidth="1"/>
    <col min="20" max="20" width="9.125" bestFit="1" customWidth="1"/>
  </cols>
  <sheetData>
    <row r="3" spans="3:22" ht="12.75" x14ac:dyDescent="0.2">
      <c r="C3" s="20">
        <v>21</v>
      </c>
      <c r="D3" s="20">
        <v>1</v>
      </c>
      <c r="E3" s="1">
        <v>17567175</v>
      </c>
      <c r="H3" s="20">
        <v>21</v>
      </c>
      <c r="I3" s="20">
        <v>1</v>
      </c>
      <c r="J3" s="1">
        <v>17567175</v>
      </c>
      <c r="Q3" s="1">
        <v>21</v>
      </c>
      <c r="R3" s="1">
        <v>1</v>
      </c>
      <c r="S3" s="1">
        <v>3092</v>
      </c>
      <c r="T3" s="72"/>
      <c r="U3" s="1">
        <f>J3/S3</f>
        <v>5681.4925614489002</v>
      </c>
    </row>
    <row r="4" spans="3:22" ht="12.75" x14ac:dyDescent="0.2">
      <c r="C4" s="20">
        <v>21</v>
      </c>
      <c r="D4" s="20">
        <v>2</v>
      </c>
      <c r="E4" s="1">
        <v>12247712</v>
      </c>
      <c r="H4" s="20">
        <v>21</v>
      </c>
      <c r="I4" s="20">
        <v>2</v>
      </c>
      <c r="J4" s="1">
        <v>12247712</v>
      </c>
      <c r="Q4" s="1">
        <v>21</v>
      </c>
      <c r="R4" s="1">
        <v>2</v>
      </c>
      <c r="S4" s="1">
        <v>2381</v>
      </c>
      <c r="T4" s="72"/>
      <c r="U4" s="1">
        <f t="shared" ref="U4:U25" si="0">J4/S4</f>
        <v>5143.9361612767743</v>
      </c>
    </row>
    <row r="5" spans="3:22" ht="12.75" x14ac:dyDescent="0.2">
      <c r="C5" s="20">
        <v>21</v>
      </c>
      <c r="D5" s="20">
        <v>3</v>
      </c>
      <c r="E5" s="1">
        <v>13891279</v>
      </c>
      <c r="H5" s="20">
        <v>21</v>
      </c>
      <c r="I5" s="20">
        <v>3</v>
      </c>
      <c r="J5" s="1">
        <v>13891279</v>
      </c>
      <c r="Q5" s="1">
        <v>21</v>
      </c>
      <c r="R5" s="1">
        <v>3</v>
      </c>
      <c r="S5" s="1">
        <v>3021</v>
      </c>
      <c r="T5" s="72"/>
      <c r="U5" s="1">
        <f t="shared" si="0"/>
        <v>4598.2386626944717</v>
      </c>
    </row>
    <row r="6" spans="3:22" ht="12.75" x14ac:dyDescent="0.2">
      <c r="C6" s="20">
        <v>21</v>
      </c>
      <c r="D6" s="20">
        <v>4</v>
      </c>
      <c r="E6" s="1">
        <v>18201326</v>
      </c>
      <c r="H6" s="20">
        <v>21</v>
      </c>
      <c r="I6" s="20">
        <v>4</v>
      </c>
      <c r="J6" s="1">
        <v>18201326</v>
      </c>
      <c r="Q6" s="1">
        <v>21</v>
      </c>
      <c r="R6" s="1">
        <v>4</v>
      </c>
      <c r="S6" s="1">
        <v>3455</v>
      </c>
      <c r="T6" s="72"/>
      <c r="U6" s="1">
        <f t="shared" si="0"/>
        <v>5268.1117221418235</v>
      </c>
    </row>
    <row r="7" spans="3:22" ht="12.75" x14ac:dyDescent="0.2">
      <c r="C7" s="20">
        <v>21</v>
      </c>
      <c r="D7" s="20">
        <v>5</v>
      </c>
      <c r="E7" s="1">
        <v>15783354</v>
      </c>
      <c r="H7" s="20">
        <v>21</v>
      </c>
      <c r="I7" s="20">
        <v>5</v>
      </c>
      <c r="J7" s="1">
        <v>15783354</v>
      </c>
      <c r="Q7" s="1">
        <v>21</v>
      </c>
      <c r="R7" s="1">
        <v>5</v>
      </c>
      <c r="S7" s="1">
        <v>3062</v>
      </c>
      <c r="T7" s="72"/>
      <c r="U7" s="1">
        <f t="shared" si="0"/>
        <v>5154.5898105813194</v>
      </c>
    </row>
    <row r="8" spans="3:22" ht="12.75" x14ac:dyDescent="0.2">
      <c r="C8" s="20">
        <v>21</v>
      </c>
      <c r="D8" s="20">
        <v>6</v>
      </c>
      <c r="E8" s="1">
        <v>14780930</v>
      </c>
      <c r="H8" s="20">
        <v>21</v>
      </c>
      <c r="I8" s="20">
        <v>6</v>
      </c>
      <c r="J8" s="1">
        <v>14780930</v>
      </c>
      <c r="Q8" s="1">
        <v>21</v>
      </c>
      <c r="R8" s="1">
        <v>6</v>
      </c>
      <c r="S8" s="1">
        <v>2697</v>
      </c>
      <c r="T8" s="72"/>
      <c r="U8" s="1">
        <f t="shared" si="0"/>
        <v>5480.5079718205416</v>
      </c>
    </row>
    <row r="9" spans="3:22" ht="12.75" x14ac:dyDescent="0.2">
      <c r="C9" s="20">
        <v>21</v>
      </c>
      <c r="D9" s="20">
        <v>7</v>
      </c>
      <c r="E9" s="1">
        <v>16229114</v>
      </c>
      <c r="H9" s="20">
        <v>21</v>
      </c>
      <c r="I9" s="20">
        <v>7</v>
      </c>
      <c r="J9" s="1">
        <v>16229114</v>
      </c>
      <c r="Q9" s="1">
        <v>21</v>
      </c>
      <c r="R9" s="1">
        <v>7</v>
      </c>
      <c r="S9" s="1">
        <v>2871</v>
      </c>
      <c r="T9" s="72"/>
      <c r="U9" s="1">
        <f t="shared" si="0"/>
        <v>5652.7739463601529</v>
      </c>
    </row>
    <row r="10" spans="3:22" ht="12.75" x14ac:dyDescent="0.2">
      <c r="C10" s="20">
        <v>21</v>
      </c>
      <c r="D10" s="20">
        <v>8</v>
      </c>
      <c r="E10" s="1">
        <v>14228961</v>
      </c>
      <c r="H10" s="20">
        <v>21</v>
      </c>
      <c r="I10" s="20">
        <v>8</v>
      </c>
      <c r="J10" s="1">
        <v>14223831</v>
      </c>
      <c r="Q10" s="1">
        <v>21</v>
      </c>
      <c r="R10" s="1">
        <v>8</v>
      </c>
      <c r="S10" s="1">
        <v>2941</v>
      </c>
      <c r="T10" s="72"/>
      <c r="U10" s="1">
        <f t="shared" si="0"/>
        <v>4836.3927235634137</v>
      </c>
    </row>
    <row r="11" spans="3:22" ht="12.75" x14ac:dyDescent="0.2">
      <c r="C11" s="20">
        <v>21</v>
      </c>
      <c r="D11" s="20">
        <v>9</v>
      </c>
      <c r="E11" s="1">
        <v>13714329</v>
      </c>
      <c r="H11" s="20">
        <v>21</v>
      </c>
      <c r="I11" s="20">
        <v>9</v>
      </c>
      <c r="J11" s="1">
        <v>13714202</v>
      </c>
      <c r="Q11" s="1">
        <v>21</v>
      </c>
      <c r="R11" s="1">
        <v>9</v>
      </c>
      <c r="S11" s="1">
        <v>2775</v>
      </c>
      <c r="T11" s="72"/>
      <c r="U11" s="1">
        <f t="shared" si="0"/>
        <v>4942.0547747747751</v>
      </c>
    </row>
    <row r="12" spans="3:22" ht="12.75" x14ac:dyDescent="0.2">
      <c r="C12" s="20">
        <v>21</v>
      </c>
      <c r="D12" s="20">
        <v>10</v>
      </c>
      <c r="E12" s="1">
        <v>16283190</v>
      </c>
      <c r="H12" s="20">
        <v>21</v>
      </c>
      <c r="I12" s="20">
        <v>10</v>
      </c>
      <c r="J12" s="1">
        <v>16277419</v>
      </c>
      <c r="Q12" s="1">
        <v>21</v>
      </c>
      <c r="R12" s="1">
        <v>10</v>
      </c>
      <c r="S12" s="1">
        <v>3229</v>
      </c>
      <c r="T12" s="72"/>
      <c r="U12" s="1">
        <f t="shared" si="0"/>
        <v>5041.0092908021061</v>
      </c>
    </row>
    <row r="13" spans="3:22" ht="12.75" x14ac:dyDescent="0.2">
      <c r="C13" s="20">
        <v>21</v>
      </c>
      <c r="D13" s="20">
        <v>11</v>
      </c>
      <c r="E13" s="1">
        <v>14125726</v>
      </c>
      <c r="H13" s="20">
        <v>21</v>
      </c>
      <c r="I13" s="20">
        <v>11</v>
      </c>
      <c r="J13" s="1">
        <v>14125716</v>
      </c>
      <c r="Q13" s="1">
        <v>21</v>
      </c>
      <c r="R13" s="1">
        <v>11</v>
      </c>
      <c r="S13" s="1">
        <v>2680</v>
      </c>
      <c r="T13" s="72"/>
      <c r="U13" s="1">
        <f t="shared" si="0"/>
        <v>5270.7895522388062</v>
      </c>
    </row>
    <row r="14" spans="3:22" ht="12.75" x14ac:dyDescent="0.2">
      <c r="C14" s="20">
        <v>21</v>
      </c>
      <c r="D14" s="20">
        <v>12</v>
      </c>
      <c r="E14" s="1">
        <v>16746028</v>
      </c>
      <c r="H14" s="20">
        <v>21</v>
      </c>
      <c r="I14" s="20">
        <v>12</v>
      </c>
      <c r="J14" s="1">
        <v>16737840</v>
      </c>
      <c r="Q14" s="1">
        <v>21</v>
      </c>
      <c r="R14" s="1">
        <v>12</v>
      </c>
      <c r="S14" s="1">
        <v>3195</v>
      </c>
      <c r="T14" s="72"/>
      <c r="U14" s="1">
        <f t="shared" si="0"/>
        <v>5238.7605633802814</v>
      </c>
    </row>
    <row r="15" spans="3:22" ht="12.75" x14ac:dyDescent="0.2">
      <c r="C15" s="20">
        <v>21</v>
      </c>
      <c r="D15" s="20"/>
      <c r="E15" s="1">
        <v>183799124</v>
      </c>
      <c r="H15" s="20">
        <v>21</v>
      </c>
      <c r="I15" s="20"/>
      <c r="J15" s="1">
        <v>183779898</v>
      </c>
      <c r="Q15" s="1">
        <v>21</v>
      </c>
      <c r="R15" s="1"/>
      <c r="S15" s="1">
        <v>35399</v>
      </c>
      <c r="T15" s="72"/>
      <c r="U15" s="1">
        <f t="shared" si="0"/>
        <v>5191.6691996949066</v>
      </c>
    </row>
    <row r="16" spans="3:22" ht="12.75" x14ac:dyDescent="0.2">
      <c r="C16" s="20">
        <v>22</v>
      </c>
      <c r="D16" s="20">
        <v>1</v>
      </c>
      <c r="E16" s="1">
        <v>18171999</v>
      </c>
      <c r="H16" s="20">
        <v>22</v>
      </c>
      <c r="I16" s="20">
        <v>1</v>
      </c>
      <c r="J16" s="1">
        <v>18120748</v>
      </c>
      <c r="K16" s="111">
        <f>J16/J3-1</f>
        <v>3.151178262868104E-2</v>
      </c>
      <c r="Q16" s="1">
        <v>22</v>
      </c>
      <c r="R16" s="1">
        <v>1</v>
      </c>
      <c r="S16" s="1">
        <v>3051</v>
      </c>
      <c r="T16" s="72">
        <f>S16/S3-1</f>
        <v>-1.3260025873221171E-2</v>
      </c>
      <c r="U16" s="1">
        <f t="shared" si="0"/>
        <v>5939.2815470337591</v>
      </c>
      <c r="V16" s="72">
        <f>U16/U3-1</f>
        <v>4.5373461779049995E-2</v>
      </c>
    </row>
    <row r="17" spans="3:22" ht="12.75" x14ac:dyDescent="0.2">
      <c r="C17" s="20">
        <v>22</v>
      </c>
      <c r="D17" s="20">
        <v>2</v>
      </c>
      <c r="E17" s="1">
        <v>11753736</v>
      </c>
      <c r="H17" s="20">
        <v>22</v>
      </c>
      <c r="I17" s="20">
        <v>2</v>
      </c>
      <c r="J17" s="1">
        <v>11732693</v>
      </c>
      <c r="K17" s="111">
        <f t="shared" ref="K17:K24" si="1">J17/J4-1</f>
        <v>-4.205022129847602E-2</v>
      </c>
      <c r="Q17" s="1">
        <v>22</v>
      </c>
      <c r="R17" s="1">
        <v>2</v>
      </c>
      <c r="S17" s="1">
        <v>2224</v>
      </c>
      <c r="T17" s="72">
        <f t="shared" ref="T17:T24" si="2">S17/S4-1</f>
        <v>-6.5938681226375473E-2</v>
      </c>
      <c r="U17" s="1">
        <f t="shared" si="0"/>
        <v>5275.4914568345321</v>
      </c>
      <c r="V17" s="72">
        <f t="shared" ref="V17:V24" si="3">U17/U4-1</f>
        <v>2.5574830525327608E-2</v>
      </c>
    </row>
    <row r="18" spans="3:22" ht="12.75" x14ac:dyDescent="0.2">
      <c r="C18" s="20">
        <v>22</v>
      </c>
      <c r="D18" s="20">
        <v>3</v>
      </c>
      <c r="E18" s="1">
        <v>14889748</v>
      </c>
      <c r="H18" s="20">
        <v>22</v>
      </c>
      <c r="I18" s="20">
        <v>3</v>
      </c>
      <c r="J18" s="1">
        <v>14904834</v>
      </c>
      <c r="K18" s="111">
        <f t="shared" si="1"/>
        <v>7.2963403873754107E-2</v>
      </c>
      <c r="Q18" s="1">
        <v>22</v>
      </c>
      <c r="R18" s="1">
        <v>3</v>
      </c>
      <c r="S18" s="1">
        <v>3103</v>
      </c>
      <c r="T18" s="72">
        <f t="shared" si="2"/>
        <v>2.7143330023171153E-2</v>
      </c>
      <c r="U18" s="1">
        <f t="shared" si="0"/>
        <v>4803.3625523686751</v>
      </c>
      <c r="V18" s="72">
        <f t="shared" si="3"/>
        <v>4.4609230777509223E-2</v>
      </c>
    </row>
    <row r="19" spans="3:22" ht="12.75" x14ac:dyDescent="0.2">
      <c r="C19" s="20">
        <v>22</v>
      </c>
      <c r="D19" s="20">
        <v>4</v>
      </c>
      <c r="E19" s="1">
        <v>16206417</v>
      </c>
      <c r="H19" s="20">
        <v>22</v>
      </c>
      <c r="I19" s="20">
        <v>4</v>
      </c>
      <c r="J19" s="1">
        <v>16231714</v>
      </c>
      <c r="K19" s="111">
        <f t="shared" si="1"/>
        <v>-0.10821255550282438</v>
      </c>
      <c r="Q19" s="1">
        <v>22</v>
      </c>
      <c r="R19" s="1">
        <v>4</v>
      </c>
      <c r="S19" s="1">
        <v>3250</v>
      </c>
      <c r="T19" s="72">
        <f t="shared" si="2"/>
        <v>-5.9334298118668638E-2</v>
      </c>
      <c r="U19" s="1">
        <f t="shared" si="0"/>
        <v>4994.3735384615384</v>
      </c>
      <c r="V19" s="72">
        <f t="shared" si="3"/>
        <v>-5.1961347465310226E-2</v>
      </c>
    </row>
    <row r="20" spans="3:22" ht="12.75" x14ac:dyDescent="0.2">
      <c r="C20" s="20">
        <v>22</v>
      </c>
      <c r="D20" s="20">
        <v>5</v>
      </c>
      <c r="E20" s="1">
        <v>16981632</v>
      </c>
      <c r="H20" s="20">
        <v>22</v>
      </c>
      <c r="I20" s="20">
        <v>5</v>
      </c>
      <c r="J20" s="1">
        <v>16963589</v>
      </c>
      <c r="K20" s="111">
        <f t="shared" si="1"/>
        <v>7.4777198813382739E-2</v>
      </c>
      <c r="Q20" s="1">
        <v>22</v>
      </c>
      <c r="R20" s="1">
        <v>5</v>
      </c>
      <c r="S20" s="1">
        <v>3053</v>
      </c>
      <c r="T20" s="72">
        <f t="shared" si="2"/>
        <v>-2.9392553886349315E-3</v>
      </c>
      <c r="U20" s="1">
        <f t="shared" si="0"/>
        <v>5556.3671798231244</v>
      </c>
      <c r="V20" s="72">
        <f t="shared" si="3"/>
        <v>7.7945556097798185E-2</v>
      </c>
    </row>
    <row r="21" spans="3:22" ht="12.75" x14ac:dyDescent="0.2">
      <c r="C21" s="20">
        <v>22</v>
      </c>
      <c r="D21" s="20">
        <v>6</v>
      </c>
      <c r="E21" s="1">
        <v>15516668</v>
      </c>
      <c r="H21" s="20">
        <v>22</v>
      </c>
      <c r="I21" s="20">
        <v>6</v>
      </c>
      <c r="J21" s="1">
        <v>15550973</v>
      </c>
      <c r="K21" s="111">
        <f t="shared" si="1"/>
        <v>5.2097060198512457E-2</v>
      </c>
      <c r="M21" s="1"/>
      <c r="Q21" s="1">
        <v>22</v>
      </c>
      <c r="R21" s="1">
        <v>6</v>
      </c>
      <c r="S21" s="1">
        <v>2776</v>
      </c>
      <c r="T21" s="72">
        <f t="shared" si="2"/>
        <v>2.9291805710048191E-2</v>
      </c>
      <c r="U21" s="1">
        <f t="shared" si="0"/>
        <v>5601.9355187319889</v>
      </c>
      <c r="V21" s="72">
        <f t="shared" si="3"/>
        <v>2.2156257692863335E-2</v>
      </c>
    </row>
    <row r="22" spans="3:22" ht="12.75" x14ac:dyDescent="0.2">
      <c r="C22" s="20">
        <v>22</v>
      </c>
      <c r="D22" s="20">
        <v>7</v>
      </c>
      <c r="E22" s="1">
        <v>18051444</v>
      </c>
      <c r="H22" s="20">
        <v>22</v>
      </c>
      <c r="I22" s="20">
        <v>7</v>
      </c>
      <c r="J22" s="1">
        <v>18039902</v>
      </c>
      <c r="K22" s="111">
        <f t="shared" si="1"/>
        <v>0.11157651613020891</v>
      </c>
      <c r="M22" s="1"/>
      <c r="Q22" s="1">
        <v>22</v>
      </c>
      <c r="R22" s="1">
        <v>7</v>
      </c>
      <c r="S22" s="1">
        <v>3273</v>
      </c>
      <c r="T22" s="72">
        <f t="shared" si="2"/>
        <v>0.14002089864158829</v>
      </c>
      <c r="U22" s="1">
        <f t="shared" si="0"/>
        <v>5511.73296669722</v>
      </c>
      <c r="V22" s="72">
        <f t="shared" si="3"/>
        <v>-2.4950755328496665E-2</v>
      </c>
    </row>
    <row r="23" spans="3:22" ht="12.75" x14ac:dyDescent="0.2">
      <c r="C23" s="20">
        <v>22</v>
      </c>
      <c r="D23" s="20">
        <v>8</v>
      </c>
      <c r="E23" s="1">
        <v>15805905</v>
      </c>
      <c r="H23" s="20">
        <v>22</v>
      </c>
      <c r="I23" s="20">
        <v>8</v>
      </c>
      <c r="J23" s="1">
        <v>15853923</v>
      </c>
      <c r="K23" s="111">
        <f t="shared" si="1"/>
        <v>0.11460288019451292</v>
      </c>
      <c r="M23" s="1"/>
      <c r="Q23" s="1">
        <v>22</v>
      </c>
      <c r="R23" s="1">
        <v>8</v>
      </c>
      <c r="S23" s="1">
        <v>3205</v>
      </c>
      <c r="T23" s="72">
        <f t="shared" si="2"/>
        <v>8.9765385923155305E-2</v>
      </c>
      <c r="U23" s="1">
        <f t="shared" si="0"/>
        <v>4946.6218408736349</v>
      </c>
      <c r="V23" s="72">
        <f t="shared" si="3"/>
        <v>2.2791597707351841E-2</v>
      </c>
    </row>
    <row r="24" spans="3:22" ht="12.75" x14ac:dyDescent="0.2">
      <c r="C24" s="20">
        <v>22</v>
      </c>
      <c r="D24" s="20">
        <v>9</v>
      </c>
      <c r="E24" s="1">
        <v>15064299</v>
      </c>
      <c r="H24" s="20">
        <v>22</v>
      </c>
      <c r="I24" s="20">
        <v>9</v>
      </c>
      <c r="J24" s="1">
        <v>14950516</v>
      </c>
      <c r="K24" s="111">
        <f t="shared" si="1"/>
        <v>9.0148446114473257E-2</v>
      </c>
      <c r="M24" s="1"/>
      <c r="Q24" s="1">
        <v>22</v>
      </c>
      <c r="R24" s="1">
        <v>9</v>
      </c>
      <c r="S24" s="1">
        <v>2892</v>
      </c>
      <c r="T24" s="72">
        <f t="shared" si="2"/>
        <v>4.2162162162162176E-2</v>
      </c>
      <c r="U24" s="1">
        <f t="shared" si="0"/>
        <v>5169.6113416320886</v>
      </c>
      <c r="V24" s="72">
        <f t="shared" si="3"/>
        <v>4.6044930140962226E-2</v>
      </c>
    </row>
    <row r="25" spans="3:22" ht="12.75" x14ac:dyDescent="0.2">
      <c r="C25" s="20"/>
      <c r="D25" s="20"/>
      <c r="E25" s="1">
        <f>SUM(E16:E24)</f>
        <v>142441848</v>
      </c>
      <c r="H25" s="20">
        <v>22</v>
      </c>
      <c r="I25" s="20"/>
      <c r="J25" s="1">
        <v>142348892</v>
      </c>
      <c r="M25" s="1">
        <f>SUM(J3:J11)</f>
        <v>136638923</v>
      </c>
      <c r="N25" s="111">
        <f>J25/M25-1</f>
        <v>4.1788744192604588E-2</v>
      </c>
      <c r="Q25" s="1">
        <v>22</v>
      </c>
      <c r="R25" s="1"/>
      <c r="S25" s="1">
        <v>26828</v>
      </c>
      <c r="T25" s="72"/>
      <c r="U25" s="1">
        <f t="shared" si="0"/>
        <v>5305.9822573430747</v>
      </c>
      <c r="V25" s="98">
        <f>U25/T28-1</f>
        <v>2.1091211739396876E-2</v>
      </c>
    </row>
    <row r="26" spans="3:22" ht="12.75" x14ac:dyDescent="0.2">
      <c r="M26" s="1"/>
    </row>
    <row r="27" spans="3:22" ht="12.75" x14ac:dyDescent="0.2">
      <c r="D27" s="20"/>
      <c r="E27" s="93">
        <f>E12+E13+E14</f>
        <v>47154944</v>
      </c>
      <c r="I27" s="20">
        <v>10</v>
      </c>
      <c r="J27" s="93">
        <f>J12*L$27</f>
        <v>17498225.425000001</v>
      </c>
      <c r="L27" s="111">
        <v>1.075</v>
      </c>
      <c r="M27" s="1"/>
      <c r="S27" s="1">
        <f>SUM(S3:S11)</f>
        <v>26295</v>
      </c>
      <c r="T27" s="114">
        <f>S25/S27-1</f>
        <v>2.0270013310515367E-2</v>
      </c>
    </row>
    <row r="28" spans="3:22" ht="12.75" x14ac:dyDescent="0.2">
      <c r="D28" s="20"/>
      <c r="E28" s="93"/>
      <c r="I28" s="20">
        <v>11</v>
      </c>
      <c r="J28" s="93">
        <f>J13*L$27</f>
        <v>15185144.699999999</v>
      </c>
      <c r="M28" s="1"/>
      <c r="S28" s="1">
        <f>SUM(J3:J11)</f>
        <v>136638923</v>
      </c>
      <c r="T28" s="1">
        <f>S28/S27</f>
        <v>5196.3842175318505</v>
      </c>
    </row>
    <row r="29" spans="3:22" ht="12.75" x14ac:dyDescent="0.2">
      <c r="D29" s="20"/>
      <c r="E29" s="93">
        <f>E25+E27</f>
        <v>189596792</v>
      </c>
      <c r="I29" s="20">
        <v>12</v>
      </c>
      <c r="J29" s="93">
        <f>J14*L$27</f>
        <v>17993178</v>
      </c>
      <c r="M29" s="1"/>
    </row>
    <row r="30" spans="3:22" ht="12.75" x14ac:dyDescent="0.2">
      <c r="M30" s="1"/>
    </row>
    <row r="31" spans="3:22" ht="12.75" x14ac:dyDescent="0.2">
      <c r="E31" s="93">
        <f>E12*1.1+E13*1.1*1.03+E14*1.03</f>
        <v>51164365.398000002</v>
      </c>
      <c r="J31" s="93">
        <f>J25+SUM(J27:J29)</f>
        <v>193025440.125</v>
      </c>
      <c r="L31" t="s">
        <v>150</v>
      </c>
      <c r="M31" s="1"/>
    </row>
    <row r="32" spans="3:22" ht="12.75" x14ac:dyDescent="0.2">
      <c r="E32" s="93">
        <f>E31+E25</f>
        <v>193606213.398</v>
      </c>
      <c r="M32" s="1"/>
    </row>
    <row r="33" spans="12:19" ht="12.75" x14ac:dyDescent="0.2">
      <c r="L33" t="s">
        <v>151</v>
      </c>
      <c r="M33" s="1">
        <f>SUM(J9:J11)</f>
        <v>44167147</v>
      </c>
    </row>
    <row r="34" spans="12:19" ht="12.75" x14ac:dyDescent="0.2">
      <c r="M34" s="1">
        <f>SUM(J22:J24)</f>
        <v>48844341</v>
      </c>
      <c r="N34" s="112">
        <f>M34/M33-1</f>
        <v>0.10589758038933317</v>
      </c>
    </row>
    <row r="35" spans="12:19" ht="12.75" x14ac:dyDescent="0.2">
      <c r="M35" s="1"/>
    </row>
    <row r="36" spans="12:19" ht="12.75" x14ac:dyDescent="0.2">
      <c r="L36" s="1"/>
      <c r="M36" s="1"/>
      <c r="N36" s="1"/>
      <c r="O36" s="1"/>
      <c r="P36" s="1"/>
      <c r="Q36" s="1"/>
      <c r="R36" s="1"/>
      <c r="S36" s="1"/>
    </row>
    <row r="37" spans="12:19" ht="12.75" x14ac:dyDescent="0.2">
      <c r="L37" s="1" t="s">
        <v>152</v>
      </c>
      <c r="M37" s="1">
        <f>SUM(J3:J8)</f>
        <v>92471776</v>
      </c>
      <c r="N37" s="1"/>
      <c r="O37" s="1"/>
      <c r="P37" s="1"/>
      <c r="Q37" s="1"/>
      <c r="R37" s="1"/>
      <c r="S37" s="1"/>
    </row>
    <row r="38" spans="12:19" ht="12.75" x14ac:dyDescent="0.2">
      <c r="L38" s="1"/>
      <c r="M38" s="1"/>
      <c r="N38" s="1"/>
      <c r="O38" s="1"/>
      <c r="P38" s="1"/>
      <c r="Q38" s="1"/>
      <c r="R38" s="1"/>
      <c r="S38" s="1"/>
    </row>
    <row r="39" spans="12:19" ht="12.75" x14ac:dyDescent="0.2">
      <c r="L39" s="113" t="s">
        <v>152</v>
      </c>
      <c r="M39" s="1">
        <f>SUM(J16:J21)</f>
        <v>93504551</v>
      </c>
      <c r="N39" s="111">
        <f>M39/M37-1</f>
        <v>1.1168542929250069E-2</v>
      </c>
      <c r="O39" s="1"/>
      <c r="P39" s="1"/>
      <c r="Q39" s="1"/>
      <c r="R39" s="1"/>
      <c r="S39" s="1"/>
    </row>
    <row r="40" spans="12:19" ht="12.75" x14ac:dyDescent="0.2">
      <c r="L40" s="1"/>
      <c r="M40" s="1"/>
      <c r="N40" s="1"/>
      <c r="O40" s="1"/>
      <c r="P40" s="1"/>
      <c r="Q40" s="1"/>
      <c r="R40" s="1"/>
      <c r="S40" s="1"/>
    </row>
    <row r="41" spans="12:19" ht="12.75" x14ac:dyDescent="0.2">
      <c r="L41" s="1"/>
      <c r="M41" s="1">
        <f>M33+M37</f>
        <v>136638923</v>
      </c>
      <c r="N41" s="1"/>
      <c r="O41" s="1"/>
      <c r="P41" s="1"/>
      <c r="Q41" s="1"/>
      <c r="R41" s="1"/>
      <c r="S41" s="1"/>
    </row>
    <row r="42" spans="12:19" ht="12.75" x14ac:dyDescent="0.2">
      <c r="L42" s="1"/>
      <c r="M42" s="1">
        <f>M34+M39</f>
        <v>142348892</v>
      </c>
      <c r="N42" s="114">
        <f>M42/M41-1</f>
        <v>4.1788744192604588E-2</v>
      </c>
      <c r="O42" s="101" t="s">
        <v>153</v>
      </c>
      <c r="P42" s="1"/>
      <c r="Q42" s="1"/>
      <c r="R42" s="1"/>
      <c r="S42" s="1"/>
    </row>
    <row r="43" spans="12:19" ht="12.75" x14ac:dyDescent="0.2">
      <c r="L43" s="1"/>
      <c r="M43" s="1"/>
      <c r="N43" s="1"/>
      <c r="O43" s="1"/>
      <c r="P43" s="1"/>
      <c r="Q43" s="1"/>
      <c r="R43" s="1"/>
      <c r="S43" s="1"/>
    </row>
    <row r="44" spans="12:19" ht="12.75" x14ac:dyDescent="0.2">
      <c r="L44" s="1"/>
      <c r="M44" s="1"/>
      <c r="N44" s="1"/>
      <c r="O44" s="1"/>
      <c r="P44" s="1"/>
      <c r="Q44" s="1"/>
      <c r="R44" s="1"/>
      <c r="S44" s="1"/>
    </row>
    <row r="45" spans="12:19" ht="12.75" x14ac:dyDescent="0.2">
      <c r="L45" s="1"/>
      <c r="M45" s="1"/>
      <c r="N45" s="1"/>
      <c r="O45" s="1"/>
      <c r="P45" s="1"/>
      <c r="Q45" s="1"/>
      <c r="R45" s="1"/>
      <c r="S45" s="1"/>
    </row>
    <row r="46" spans="12:19" ht="12.75" x14ac:dyDescent="0.2">
      <c r="L46" s="1"/>
      <c r="M46" s="1"/>
      <c r="N46" s="1"/>
      <c r="O46" s="1"/>
      <c r="P46" s="1"/>
      <c r="Q46" s="1"/>
      <c r="R46" s="1"/>
      <c r="S46" s="1"/>
    </row>
    <row r="47" spans="12:19" ht="12.75" x14ac:dyDescent="0.2">
      <c r="L47" s="1"/>
      <c r="M47" s="1"/>
      <c r="N47" s="1"/>
      <c r="O47" s="1"/>
      <c r="P47" s="1"/>
      <c r="Q47" s="1"/>
      <c r="R47" s="1"/>
      <c r="S47" s="1"/>
    </row>
    <row r="48" spans="12:19" ht="12.75" x14ac:dyDescent="0.2">
      <c r="L48" s="1"/>
      <c r="M48" s="1"/>
      <c r="N48" s="1"/>
      <c r="O48" s="1"/>
      <c r="P48" s="1"/>
      <c r="Q48" s="1"/>
      <c r="R48" s="1"/>
      <c r="S48" s="1"/>
    </row>
    <row r="49" spans="12:19" ht="12.75" x14ac:dyDescent="0.2">
      <c r="L49" s="1"/>
      <c r="M49" s="1"/>
      <c r="N49" s="1"/>
      <c r="O49" s="1"/>
      <c r="P49" s="1"/>
      <c r="Q49" s="1"/>
      <c r="R49" s="1"/>
      <c r="S49" s="1"/>
    </row>
    <row r="50" spans="12:19" ht="12.75" x14ac:dyDescent="0.2">
      <c r="L50" s="1"/>
      <c r="M50" s="1"/>
      <c r="N50" s="1"/>
      <c r="O50" s="1"/>
      <c r="P50" s="1"/>
      <c r="Q50" s="1"/>
      <c r="R50" s="1"/>
      <c r="S50" s="1"/>
    </row>
    <row r="51" spans="12:19" ht="12.75" x14ac:dyDescent="0.2">
      <c r="L51" s="1"/>
      <c r="M51" s="1"/>
      <c r="N51" s="1"/>
      <c r="O51" s="1"/>
      <c r="P51" s="1"/>
      <c r="Q51" s="1"/>
      <c r="R51" s="1"/>
      <c r="S51" s="1"/>
    </row>
    <row r="52" spans="12:19" ht="12.75" x14ac:dyDescent="0.2">
      <c r="L52" s="1"/>
      <c r="M52" s="1"/>
      <c r="N52" s="1"/>
      <c r="O52" s="1"/>
      <c r="P52" s="1"/>
      <c r="Q52" s="1"/>
      <c r="R52" s="1"/>
      <c r="S52" s="1"/>
    </row>
    <row r="53" spans="12:19" ht="12.75" x14ac:dyDescent="0.2">
      <c r="L53" s="1"/>
      <c r="M53" s="1"/>
      <c r="N53" s="1"/>
      <c r="O53" s="1"/>
      <c r="P53" s="1"/>
      <c r="Q53" s="1"/>
      <c r="R53" s="1"/>
      <c r="S53" s="1"/>
    </row>
    <row r="54" spans="12:19" ht="12.75" x14ac:dyDescent="0.2">
      <c r="L54" s="1"/>
      <c r="M54" s="1"/>
      <c r="N54" s="1"/>
      <c r="O54" s="1"/>
      <c r="P54" s="1"/>
      <c r="Q54" s="1"/>
      <c r="R54" s="1"/>
      <c r="S54" s="1"/>
    </row>
    <row r="55" spans="12:19" ht="12.75" x14ac:dyDescent="0.2">
      <c r="L55" s="1"/>
      <c r="M55" s="1"/>
      <c r="N55" s="1"/>
      <c r="O55" s="1"/>
      <c r="P55" s="1"/>
      <c r="Q55" s="1"/>
      <c r="R55" s="1"/>
      <c r="S55" s="1"/>
    </row>
    <row r="56" spans="12:19" ht="12.75" x14ac:dyDescent="0.2">
      <c r="L56" s="1"/>
      <c r="M56" s="1"/>
      <c r="N56" s="1"/>
      <c r="O56" s="1"/>
      <c r="P56" s="1"/>
      <c r="Q56" s="1"/>
      <c r="R56" s="1"/>
      <c r="S56" s="1"/>
    </row>
    <row r="57" spans="12:19" ht="12.75" x14ac:dyDescent="0.2">
      <c r="L57" s="1"/>
      <c r="M57" s="1"/>
      <c r="N57" s="1"/>
      <c r="O57" s="1"/>
      <c r="P57" s="1"/>
      <c r="Q57" s="1"/>
      <c r="R57" s="1"/>
      <c r="S57" s="1"/>
    </row>
    <row r="58" spans="12:19" ht="12.75" x14ac:dyDescent="0.2">
      <c r="M58" s="1"/>
    </row>
    <row r="59" spans="12:19" ht="12.75" x14ac:dyDescent="0.2">
      <c r="M59" s="1"/>
    </row>
    <row r="60" spans="12:19" ht="12.75" x14ac:dyDescent="0.2">
      <c r="M60" s="1"/>
    </row>
    <row r="61" spans="12:19" ht="12.75" x14ac:dyDescent="0.2">
      <c r="M6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17</vt:i4>
      </vt:variant>
    </vt:vector>
  </HeadingPairs>
  <TitlesOfParts>
    <vt:vector size="26" baseType="lpstr">
      <vt:lpstr>ULTPYAO (2)</vt:lpstr>
      <vt:lpstr>ind or final</vt:lpstr>
      <vt:lpstr>ULTIMATE</vt:lpstr>
      <vt:lpstr>Sheet1</vt:lpstr>
      <vt:lpstr>ULTPYPP</vt:lpstr>
      <vt:lpstr>ULTPQPP</vt:lpstr>
      <vt:lpstr>ULTPYAO</vt:lpstr>
      <vt:lpstr>ULTPQAO</vt:lpstr>
      <vt:lpstr>Sheet2</vt:lpstr>
      <vt:lpstr>ALL_PAGES</vt:lpstr>
      <vt:lpstr>ULTPQAO!PAGE_1</vt:lpstr>
      <vt:lpstr>ULTPQPP!PAGE_1</vt:lpstr>
      <vt:lpstr>ULTPYAO!PAGE_1</vt:lpstr>
      <vt:lpstr>'ULTPYAO (2)'!PAGE_1</vt:lpstr>
      <vt:lpstr>PAGE_1</vt:lpstr>
      <vt:lpstr>ULTPQAO!PAGE_2</vt:lpstr>
      <vt:lpstr>PAGE_2</vt:lpstr>
      <vt:lpstr>PAGE_3</vt:lpstr>
      <vt:lpstr>PAGE_4</vt:lpstr>
      <vt:lpstr>PAGE_5</vt:lpstr>
      <vt:lpstr>ULTIMATE!Print_Area</vt:lpstr>
      <vt:lpstr>ULTPQAO!Print_Area</vt:lpstr>
      <vt:lpstr>ULTPQPP!Print_Area</vt:lpstr>
      <vt:lpstr>ULTPYAO!Print_Area</vt:lpstr>
      <vt:lpstr>'ULTPYAO (2)'!Print_Area</vt:lpstr>
      <vt:lpstr>ULTPYPP!Print_Area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C.A.R.</dc:creator>
  <cp:lastModifiedBy>Ross, Evan</cp:lastModifiedBy>
  <cp:lastPrinted>2025-03-05T17:21:44Z</cp:lastPrinted>
  <dcterms:created xsi:type="dcterms:W3CDTF">1997-12-02T21:17:10Z</dcterms:created>
  <dcterms:modified xsi:type="dcterms:W3CDTF">2025-03-05T21:30:23Z</dcterms:modified>
</cp:coreProperties>
</file>